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CESAVECO2013\COMITE 2013\2019\informes19\REVISADOS\"/>
    </mc:Choice>
  </mc:AlternateContent>
  <bookViews>
    <workbookView xWindow="0" yWindow="0" windowWidth="28800" windowHeight="12435"/>
  </bookViews>
  <sheets>
    <sheet name="Trimestral VEME2019 " sheetId="4" r:id="rId1"/>
    <sheet name="Mensual VEME2019" sheetId="2" r:id="rId2"/>
    <sheet name="Trimestral_Limpia" sheetId="3" r:id="rId3"/>
  </sheets>
  <definedNames>
    <definedName name="_xlnm.Print_Area" localSheetId="1">'Mensual VEME2019'!$A$2:$U$116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423" i="2" l="1"/>
  <c r="Y1423" i="2" s="1"/>
  <c r="V1423" i="2"/>
  <c r="W1423" i="2" s="1"/>
  <c r="X1421" i="2"/>
  <c r="Y1421" i="2" s="1"/>
  <c r="V1421" i="2"/>
  <c r="W1421" i="2" s="1"/>
  <c r="X1420" i="2"/>
  <c r="Y1420" i="2" s="1"/>
  <c r="V1420" i="2"/>
  <c r="W1420" i="2" s="1"/>
  <c r="X1419" i="2"/>
  <c r="Y1419" i="2" s="1"/>
  <c r="V1419" i="2"/>
  <c r="W1419" i="2" s="1"/>
  <c r="X1418" i="2"/>
  <c r="Y1418" i="2" s="1"/>
  <c r="V1418" i="2"/>
  <c r="W1418" i="2" s="1"/>
  <c r="X1417" i="2"/>
  <c r="Y1417" i="2" s="1"/>
  <c r="V1417" i="2"/>
  <c r="W1417" i="2" s="1"/>
  <c r="X1416" i="2"/>
  <c r="Y1416" i="2" s="1"/>
  <c r="V1416" i="2"/>
  <c r="W1416" i="2" s="1"/>
  <c r="X1415" i="2"/>
  <c r="Y1415" i="2" s="1"/>
  <c r="V1415" i="2"/>
  <c r="W1415" i="2" s="1"/>
  <c r="X1414" i="2"/>
  <c r="Y1414" i="2" s="1"/>
  <c r="V1414" i="2"/>
  <c r="W1414" i="2" s="1"/>
  <c r="X1296" i="2"/>
  <c r="Y1296" i="2" s="1"/>
  <c r="V1296" i="2"/>
  <c r="W1296" i="2" s="1"/>
  <c r="X1294" i="2"/>
  <c r="Y1294" i="2" s="1"/>
  <c r="V1294" i="2"/>
  <c r="W1294" i="2" s="1"/>
  <c r="X1293" i="2"/>
  <c r="Y1293" i="2" s="1"/>
  <c r="V1293" i="2"/>
  <c r="W1293" i="2" s="1"/>
  <c r="X1292" i="2"/>
  <c r="Y1292" i="2" s="1"/>
  <c r="V1292" i="2"/>
  <c r="W1292" i="2" s="1"/>
  <c r="X1291" i="2"/>
  <c r="Y1291" i="2" s="1"/>
  <c r="V1291" i="2"/>
  <c r="W1291" i="2" s="1"/>
  <c r="X1290" i="2"/>
  <c r="Y1290" i="2" s="1"/>
  <c r="V1290" i="2"/>
  <c r="W1290" i="2" s="1"/>
  <c r="X1289" i="2"/>
  <c r="Y1289" i="2" s="1"/>
  <c r="V1289" i="2"/>
  <c r="W1289" i="2" s="1"/>
  <c r="X1288" i="2"/>
  <c r="Y1288" i="2" s="1"/>
  <c r="V1288" i="2"/>
  <c r="W1288" i="2" s="1"/>
  <c r="X1287" i="2"/>
  <c r="Y1287" i="2" s="1"/>
  <c r="V1287" i="2"/>
  <c r="W1287" i="2" s="1"/>
  <c r="X452" i="4"/>
  <c r="Y452" i="4" s="1"/>
  <c r="V452" i="4"/>
  <c r="W452" i="4" s="1"/>
  <c r="X450" i="4"/>
  <c r="Y450" i="4" s="1"/>
  <c r="V450" i="4"/>
  <c r="W450" i="4" s="1"/>
  <c r="X449" i="4"/>
  <c r="Y449" i="4" s="1"/>
  <c r="V449" i="4"/>
  <c r="W449" i="4" s="1"/>
  <c r="X448" i="4"/>
  <c r="Y448" i="4" s="1"/>
  <c r="V448" i="4"/>
  <c r="W448" i="4" s="1"/>
  <c r="X447" i="4"/>
  <c r="Y447" i="4" s="1"/>
  <c r="V447" i="4"/>
  <c r="W447" i="4" s="1"/>
  <c r="X446" i="4"/>
  <c r="Y446" i="4" s="1"/>
  <c r="V446" i="4"/>
  <c r="W446" i="4" s="1"/>
  <c r="X445" i="4"/>
  <c r="Y445" i="4" s="1"/>
  <c r="V445" i="4"/>
  <c r="W445" i="4" s="1"/>
  <c r="X444" i="4"/>
  <c r="Y444" i="4" s="1"/>
  <c r="V444" i="4"/>
  <c r="W444" i="4" s="1"/>
  <c r="X443" i="4"/>
  <c r="Y443" i="4" s="1"/>
  <c r="V443" i="4"/>
  <c r="W443" i="4" s="1"/>
  <c r="X440" i="4"/>
  <c r="Y440" i="4" s="1"/>
  <c r="V440" i="4"/>
  <c r="W440" i="4" s="1"/>
  <c r="X438" i="4"/>
  <c r="Y438" i="4" s="1"/>
  <c r="V438" i="4"/>
  <c r="W438" i="4" s="1"/>
  <c r="X437" i="4"/>
  <c r="Y437" i="4" s="1"/>
  <c r="V437" i="4"/>
  <c r="W437" i="4" s="1"/>
  <c r="X436" i="4"/>
  <c r="Y436" i="4" s="1"/>
  <c r="V436" i="4"/>
  <c r="W436" i="4" s="1"/>
  <c r="X435" i="4"/>
  <c r="Y435" i="4" s="1"/>
  <c r="V435" i="4"/>
  <c r="W435" i="4" s="1"/>
  <c r="X434" i="4"/>
  <c r="Y434" i="4" s="1"/>
  <c r="V434" i="4"/>
  <c r="W434" i="4" s="1"/>
  <c r="X433" i="4"/>
  <c r="Y433" i="4" s="1"/>
  <c r="V433" i="4"/>
  <c r="W433" i="4" s="1"/>
  <c r="X432" i="4"/>
  <c r="Y432" i="4" s="1"/>
  <c r="V432" i="4"/>
  <c r="W432" i="4" s="1"/>
  <c r="AB431" i="4"/>
  <c r="Z431" i="4"/>
  <c r="X431" i="4"/>
  <c r="V431" i="4"/>
  <c r="AE430" i="4"/>
  <c r="AB430" i="4"/>
  <c r="AC430" i="4" s="1"/>
  <c r="Z430" i="4"/>
  <c r="AA430" i="4" s="1"/>
  <c r="X430" i="4"/>
  <c r="Y430" i="4" s="1"/>
  <c r="V430" i="4"/>
  <c r="W430" i="4" s="1"/>
  <c r="AE429" i="4"/>
  <c r="AC429" i="4"/>
  <c r="AB429" i="4"/>
  <c r="AA429" i="4"/>
  <c r="Z429" i="4"/>
  <c r="Y429" i="4"/>
  <c r="X429" i="4"/>
  <c r="W429" i="4"/>
  <c r="V429" i="4"/>
  <c r="Y431" i="4"/>
  <c r="W431" i="4"/>
  <c r="X428" i="4"/>
  <c r="Y428" i="4" s="1"/>
  <c r="V428" i="4"/>
  <c r="W428" i="4" s="1"/>
  <c r="AB427" i="4"/>
  <c r="Z427" i="4"/>
  <c r="X427" i="4"/>
  <c r="V427" i="4"/>
  <c r="AB426" i="4"/>
  <c r="Z426" i="4"/>
  <c r="V426" i="4"/>
  <c r="X426" i="4"/>
  <c r="Y427" i="4"/>
  <c r="W427" i="4"/>
  <c r="Y426" i="4"/>
  <c r="W426" i="4"/>
  <c r="AB425" i="4"/>
  <c r="Z425" i="4"/>
  <c r="X425" i="4"/>
  <c r="Y425" i="4"/>
  <c r="V425" i="4"/>
  <c r="AB424" i="4"/>
  <c r="Z424" i="4"/>
  <c r="X424" i="4"/>
  <c r="W425" i="4"/>
  <c r="Y424" i="4"/>
  <c r="V424" i="4"/>
  <c r="W424" i="4" s="1"/>
  <c r="X423" i="4"/>
  <c r="Y423" i="4" s="1"/>
  <c r="V423" i="4"/>
  <c r="W423" i="4" s="1"/>
  <c r="X422" i="4"/>
  <c r="Y422" i="4" s="1"/>
  <c r="V422" i="4"/>
  <c r="W422" i="4" s="1"/>
  <c r="Y421" i="4"/>
  <c r="AB421" i="4"/>
  <c r="Z421" i="4"/>
  <c r="X421" i="4"/>
  <c r="V421" i="4"/>
  <c r="W421" i="4" s="1"/>
  <c r="AC421" i="4"/>
  <c r="AB420" i="4"/>
  <c r="Z420" i="4"/>
  <c r="Y420" i="4"/>
  <c r="X420" i="4"/>
  <c r="V420" i="4"/>
  <c r="AB419" i="4"/>
  <c r="Z419" i="4"/>
  <c r="X419" i="4"/>
  <c r="W420" i="4"/>
  <c r="AA420" i="4"/>
  <c r="Y419" i="4"/>
  <c r="W419" i="4"/>
  <c r="V419" i="4"/>
  <c r="AA419" i="4" s="1"/>
  <c r="Y418" i="4"/>
  <c r="X418" i="4"/>
  <c r="AB418" i="4" s="1"/>
  <c r="W418" i="4"/>
  <c r="V418" i="4"/>
  <c r="Z418" i="4" s="1"/>
  <c r="AA418" i="4" s="1"/>
  <c r="X417" i="4"/>
  <c r="AB417" i="4" s="1"/>
  <c r="Z417" i="4"/>
  <c r="V417" i="4"/>
  <c r="AB416" i="4"/>
  <c r="Z416" i="4"/>
  <c r="X416" i="4"/>
  <c r="V416" i="4"/>
  <c r="Y417" i="4"/>
  <c r="W417" i="4"/>
  <c r="Y416" i="4"/>
  <c r="W416" i="4"/>
  <c r="X415" i="4"/>
  <c r="Y415" i="4" s="1"/>
  <c r="V415" i="4"/>
  <c r="W415" i="4" s="1"/>
  <c r="X414" i="4"/>
  <c r="Y414" i="4" s="1"/>
  <c r="V414" i="4"/>
  <c r="W414" i="4" s="1"/>
  <c r="AB413" i="4"/>
  <c r="Z413" i="4"/>
  <c r="V413" i="4"/>
  <c r="Y413" i="4"/>
  <c r="X413" i="4"/>
  <c r="AB412" i="4"/>
  <c r="Z412" i="4"/>
  <c r="Y412" i="4"/>
  <c r="X412" i="4"/>
  <c r="AA412" i="4"/>
  <c r="V412" i="4"/>
  <c r="AC413" i="4"/>
  <c r="AD413" i="4"/>
  <c r="AE413" i="4" s="1"/>
  <c r="AA413" i="4"/>
  <c r="W413" i="4"/>
  <c r="AC412" i="4"/>
  <c r="W412" i="4"/>
  <c r="AE411" i="4"/>
  <c r="AD411" i="4"/>
  <c r="AC411" i="4"/>
  <c r="AA411" i="4"/>
  <c r="AB411" i="4"/>
  <c r="Z411" i="4"/>
  <c r="Y411" i="4"/>
  <c r="W411" i="4"/>
  <c r="X411" i="4"/>
  <c r="V411" i="4"/>
  <c r="Y403" i="4"/>
  <c r="X403" i="4"/>
  <c r="AB403" i="4" s="1"/>
  <c r="AC403" i="4" s="1"/>
  <c r="W403" i="4"/>
  <c r="V403" i="4"/>
  <c r="Z403" i="4" s="1"/>
  <c r="AB401" i="4"/>
  <c r="AC401" i="4" s="1"/>
  <c r="Y401" i="4"/>
  <c r="X401" i="4"/>
  <c r="W401" i="4"/>
  <c r="V401" i="4"/>
  <c r="Z401" i="4" s="1"/>
  <c r="AB399" i="4"/>
  <c r="AC399" i="4" s="1"/>
  <c r="Y399" i="4"/>
  <c r="X399" i="4"/>
  <c r="W399" i="4"/>
  <c r="V399" i="4"/>
  <c r="Z399" i="4" s="1"/>
  <c r="AB397" i="4"/>
  <c r="AC397" i="4" s="1"/>
  <c r="Y397" i="4"/>
  <c r="X397" i="4"/>
  <c r="W397" i="4"/>
  <c r="V397" i="4"/>
  <c r="Z397" i="4" s="1"/>
  <c r="X396" i="4"/>
  <c r="AB396" i="4" s="1"/>
  <c r="V396" i="4"/>
  <c r="W396" i="4" s="1"/>
  <c r="AB394" i="4"/>
  <c r="AC394" i="4" s="1"/>
  <c r="Y394" i="4"/>
  <c r="X394" i="4"/>
  <c r="W394" i="4"/>
  <c r="V394" i="4"/>
  <c r="Z394" i="4" s="1"/>
  <c r="X393" i="4"/>
  <c r="AB393" i="4" s="1"/>
  <c r="V393" i="4"/>
  <c r="W393" i="4" s="1"/>
  <c r="AB391" i="4"/>
  <c r="AC391" i="4" s="1"/>
  <c r="Y391" i="4"/>
  <c r="X391" i="4"/>
  <c r="W391" i="4"/>
  <c r="V391" i="4"/>
  <c r="Z391" i="4" s="1"/>
  <c r="X390" i="4"/>
  <c r="AB390" i="4" s="1"/>
  <c r="V390" i="4"/>
  <c r="W390" i="4" s="1"/>
  <c r="AB388" i="4"/>
  <c r="AC388" i="4" s="1"/>
  <c r="Y388" i="4"/>
  <c r="X388" i="4"/>
  <c r="W388" i="4"/>
  <c r="V388" i="4"/>
  <c r="Z388" i="4" s="1"/>
  <c r="AD387" i="4"/>
  <c r="AC387" i="4"/>
  <c r="AB387" i="4"/>
  <c r="AE387" i="4"/>
  <c r="Z387" i="4"/>
  <c r="Y387" i="4"/>
  <c r="W387" i="4"/>
  <c r="X387" i="4"/>
  <c r="V387" i="4"/>
  <c r="X324" i="4"/>
  <c r="Y324" i="4" s="1"/>
  <c r="V324" i="4"/>
  <c r="W324" i="4" s="1"/>
  <c r="X322" i="4"/>
  <c r="Y322" i="4" s="1"/>
  <c r="V322" i="4"/>
  <c r="W322" i="4" s="1"/>
  <c r="X321" i="4"/>
  <c r="Y321" i="4" s="1"/>
  <c r="V321" i="4"/>
  <c r="W321" i="4" s="1"/>
  <c r="X320" i="4"/>
  <c r="Y320" i="4" s="1"/>
  <c r="V320" i="4"/>
  <c r="W320" i="4" s="1"/>
  <c r="X319" i="4"/>
  <c r="Y319" i="4" s="1"/>
  <c r="V319" i="4"/>
  <c r="W319" i="4" s="1"/>
  <c r="X318" i="4"/>
  <c r="Y318" i="4" s="1"/>
  <c r="V318" i="4"/>
  <c r="W318" i="4" s="1"/>
  <c r="X317" i="4"/>
  <c r="Y317" i="4" s="1"/>
  <c r="V317" i="4"/>
  <c r="W317" i="4" s="1"/>
  <c r="X316" i="4"/>
  <c r="Y316" i="4" s="1"/>
  <c r="V316" i="4"/>
  <c r="W316" i="4" s="1"/>
  <c r="X315" i="4"/>
  <c r="Y315" i="4" s="1"/>
  <c r="V315" i="4"/>
  <c r="W315" i="4" s="1"/>
  <c r="X312" i="4"/>
  <c r="Y312" i="4" s="1"/>
  <c r="V312" i="4"/>
  <c r="W312" i="4" s="1"/>
  <c r="X310" i="4"/>
  <c r="Y310" i="4" s="1"/>
  <c r="V310" i="4"/>
  <c r="W310" i="4" s="1"/>
  <c r="X309" i="4"/>
  <c r="Y309" i="4" s="1"/>
  <c r="V309" i="4"/>
  <c r="W309" i="4" s="1"/>
  <c r="X308" i="4"/>
  <c r="Y308" i="4" s="1"/>
  <c r="V308" i="4"/>
  <c r="W308" i="4" s="1"/>
  <c r="X307" i="4"/>
  <c r="Y307" i="4" s="1"/>
  <c r="V307" i="4"/>
  <c r="W307" i="4" s="1"/>
  <c r="X306" i="4"/>
  <c r="Y306" i="4" s="1"/>
  <c r="V306" i="4"/>
  <c r="W306" i="4" s="1"/>
  <c r="X305" i="4"/>
  <c r="Y305" i="4" s="1"/>
  <c r="V305" i="4"/>
  <c r="W305" i="4" s="1"/>
  <c r="X304" i="4"/>
  <c r="Y304" i="4" s="1"/>
  <c r="V304" i="4"/>
  <c r="W304" i="4" s="1"/>
  <c r="X303" i="4"/>
  <c r="Y303" i="4" s="1"/>
  <c r="V303" i="4"/>
  <c r="W303" i="4" s="1"/>
  <c r="X302" i="4"/>
  <c r="Y302" i="4" s="1"/>
  <c r="V302" i="4"/>
  <c r="W302" i="4" s="1"/>
  <c r="X301" i="4"/>
  <c r="Y301" i="4" s="1"/>
  <c r="V301" i="4"/>
  <c r="W301" i="4" s="1"/>
  <c r="X300" i="4"/>
  <c r="Y300" i="4" s="1"/>
  <c r="V300" i="4"/>
  <c r="W300" i="4" s="1"/>
  <c r="X299" i="4"/>
  <c r="Y299" i="4" s="1"/>
  <c r="V299" i="4"/>
  <c r="W299" i="4" s="1"/>
  <c r="X298" i="4"/>
  <c r="Y298" i="4" s="1"/>
  <c r="V298" i="4"/>
  <c r="W298" i="4" s="1"/>
  <c r="X297" i="4"/>
  <c r="Y297" i="4" s="1"/>
  <c r="V297" i="4"/>
  <c r="W297" i="4" s="1"/>
  <c r="X296" i="4"/>
  <c r="Y296" i="4" s="1"/>
  <c r="V296" i="4"/>
  <c r="W296" i="4" s="1"/>
  <c r="X295" i="4"/>
  <c r="Y295" i="4" s="1"/>
  <c r="V295" i="4"/>
  <c r="W295" i="4" s="1"/>
  <c r="X294" i="4"/>
  <c r="Y294" i="4" s="1"/>
  <c r="V294" i="4"/>
  <c r="W294" i="4" s="1"/>
  <c r="X293" i="4"/>
  <c r="Y293" i="4" s="1"/>
  <c r="V293" i="4"/>
  <c r="W293" i="4" s="1"/>
  <c r="X292" i="4"/>
  <c r="Y292" i="4" s="1"/>
  <c r="V292" i="4"/>
  <c r="W292" i="4" s="1"/>
  <c r="X291" i="4"/>
  <c r="Y291" i="4" s="1"/>
  <c r="V291" i="4"/>
  <c r="W291" i="4" s="1"/>
  <c r="AE290" i="4"/>
  <c r="AD290" i="4"/>
  <c r="AC290" i="4"/>
  <c r="AB290" i="4"/>
  <c r="AA290" i="4"/>
  <c r="Z290" i="4"/>
  <c r="Y290" i="4"/>
  <c r="X290" i="4"/>
  <c r="W290" i="4"/>
  <c r="V290" i="4"/>
  <c r="AB282" i="4"/>
  <c r="AC282" i="4" s="1"/>
  <c r="Z282" i="4"/>
  <c r="AA282" i="4" s="1"/>
  <c r="X282" i="4"/>
  <c r="Y282" i="4" s="1"/>
  <c r="V282" i="4"/>
  <c r="W282" i="4" s="1"/>
  <c r="AB280" i="4"/>
  <c r="AC280" i="4" s="1"/>
  <c r="Z280" i="4"/>
  <c r="AA280" i="4" s="1"/>
  <c r="X280" i="4"/>
  <c r="Y280" i="4" s="1"/>
  <c r="V280" i="4"/>
  <c r="W280" i="4" s="1"/>
  <c r="AB278" i="4"/>
  <c r="AC278" i="4" s="1"/>
  <c r="Z278" i="4"/>
  <c r="AA278" i="4" s="1"/>
  <c r="X278" i="4"/>
  <c r="Y278" i="4" s="1"/>
  <c r="V278" i="4"/>
  <c r="W278" i="4" s="1"/>
  <c r="AB276" i="4"/>
  <c r="AC276" i="4" s="1"/>
  <c r="Z276" i="4"/>
  <c r="AA276" i="4" s="1"/>
  <c r="X276" i="4"/>
  <c r="Y276" i="4" s="1"/>
  <c r="V276" i="4"/>
  <c r="W276" i="4" s="1"/>
  <c r="AB275" i="4"/>
  <c r="AC275" i="4" s="1"/>
  <c r="Z275" i="4"/>
  <c r="AA275" i="4" s="1"/>
  <c r="X275" i="4"/>
  <c r="Y275" i="4" s="1"/>
  <c r="V275" i="4"/>
  <c r="W275" i="4" s="1"/>
  <c r="AB273" i="4"/>
  <c r="AC273" i="4" s="1"/>
  <c r="Z273" i="4"/>
  <c r="AA273" i="4" s="1"/>
  <c r="X273" i="4"/>
  <c r="Y273" i="4" s="1"/>
  <c r="V273" i="4"/>
  <c r="W273" i="4" s="1"/>
  <c r="AB272" i="4"/>
  <c r="AC272" i="4" s="1"/>
  <c r="Z272" i="4"/>
  <c r="AA272" i="4" s="1"/>
  <c r="X272" i="4"/>
  <c r="Y272" i="4" s="1"/>
  <c r="V272" i="4"/>
  <c r="W272" i="4" s="1"/>
  <c r="AB270" i="4"/>
  <c r="AC270" i="4" s="1"/>
  <c r="Z270" i="4"/>
  <c r="AA270" i="4" s="1"/>
  <c r="X270" i="4"/>
  <c r="Y270" i="4" s="1"/>
  <c r="V270" i="4"/>
  <c r="W270" i="4" s="1"/>
  <c r="AB269" i="4"/>
  <c r="AC269" i="4" s="1"/>
  <c r="Z269" i="4"/>
  <c r="AA269" i="4" s="1"/>
  <c r="X269" i="4"/>
  <c r="Y269" i="4" s="1"/>
  <c r="V269" i="4"/>
  <c r="W269" i="4" s="1"/>
  <c r="AB267" i="4"/>
  <c r="AC267" i="4" s="1"/>
  <c r="Z267" i="4"/>
  <c r="AA267" i="4" s="1"/>
  <c r="X267" i="4"/>
  <c r="Y267" i="4" s="1"/>
  <c r="V267" i="4"/>
  <c r="W267" i="4" s="1"/>
  <c r="AE266" i="4"/>
  <c r="AD266" i="4"/>
  <c r="AC266" i="4"/>
  <c r="AA266" i="4"/>
  <c r="AB266" i="4"/>
  <c r="Z266" i="4"/>
  <c r="Y266" i="4"/>
  <c r="W266" i="4"/>
  <c r="X266" i="4"/>
  <c r="V266" i="4"/>
  <c r="X204" i="4"/>
  <c r="Y204" i="4" s="1"/>
  <c r="V204" i="4"/>
  <c r="W204" i="4" s="1"/>
  <c r="X202" i="4"/>
  <c r="Y202" i="4" s="1"/>
  <c r="V202" i="4"/>
  <c r="W202" i="4" s="1"/>
  <c r="X201" i="4"/>
  <c r="Y201" i="4" s="1"/>
  <c r="V201" i="4"/>
  <c r="W201" i="4" s="1"/>
  <c r="X200" i="4"/>
  <c r="Y200" i="4" s="1"/>
  <c r="V200" i="4"/>
  <c r="W200" i="4" s="1"/>
  <c r="X199" i="4"/>
  <c r="Y199" i="4" s="1"/>
  <c r="V199" i="4"/>
  <c r="W199" i="4" s="1"/>
  <c r="X198" i="4"/>
  <c r="Y198" i="4" s="1"/>
  <c r="V198" i="4"/>
  <c r="W198" i="4" s="1"/>
  <c r="X197" i="4"/>
  <c r="Y197" i="4" s="1"/>
  <c r="V197" i="4"/>
  <c r="W197" i="4" s="1"/>
  <c r="X196" i="4"/>
  <c r="Y196" i="4" s="1"/>
  <c r="V196" i="4"/>
  <c r="W196" i="4" s="1"/>
  <c r="X195" i="4"/>
  <c r="Y195" i="4" s="1"/>
  <c r="V195" i="4"/>
  <c r="W195" i="4" s="1"/>
  <c r="X192" i="4"/>
  <c r="Y192" i="4" s="1"/>
  <c r="V192" i="4"/>
  <c r="W192" i="4" s="1"/>
  <c r="X190" i="4"/>
  <c r="Y190" i="4" s="1"/>
  <c r="V190" i="4"/>
  <c r="W190" i="4" s="1"/>
  <c r="X189" i="4"/>
  <c r="Y189" i="4" s="1"/>
  <c r="V189" i="4"/>
  <c r="W189" i="4" s="1"/>
  <c r="X188" i="4"/>
  <c r="Y188" i="4" s="1"/>
  <c r="V188" i="4"/>
  <c r="W188" i="4" s="1"/>
  <c r="X187" i="4"/>
  <c r="Y187" i="4" s="1"/>
  <c r="V187" i="4"/>
  <c r="W187" i="4" s="1"/>
  <c r="X186" i="4"/>
  <c r="Y186" i="4" s="1"/>
  <c r="V186" i="4"/>
  <c r="W186" i="4" s="1"/>
  <c r="X185" i="4"/>
  <c r="Y185" i="4" s="1"/>
  <c r="V185" i="4"/>
  <c r="W185" i="4" s="1"/>
  <c r="X184" i="4"/>
  <c r="Y184" i="4" s="1"/>
  <c r="V184" i="4"/>
  <c r="W184" i="4" s="1"/>
  <c r="X183" i="4"/>
  <c r="Y183" i="4" s="1"/>
  <c r="V183" i="4"/>
  <c r="W183" i="4" s="1"/>
  <c r="X182" i="4"/>
  <c r="Y182" i="4" s="1"/>
  <c r="V182" i="4"/>
  <c r="X181" i="4"/>
  <c r="Y181" i="4" s="1"/>
  <c r="V181" i="4"/>
  <c r="W181" i="4" s="1"/>
  <c r="X180" i="4"/>
  <c r="Y180" i="4" s="1"/>
  <c r="V180" i="4"/>
  <c r="W180" i="4" s="1"/>
  <c r="X179" i="4"/>
  <c r="Y179" i="4" s="1"/>
  <c r="V179" i="4"/>
  <c r="W179" i="4" s="1"/>
  <c r="X178" i="4"/>
  <c r="Y178" i="4" s="1"/>
  <c r="V178" i="4"/>
  <c r="W178" i="4" s="1"/>
  <c r="X177" i="4"/>
  <c r="Y177" i="4" s="1"/>
  <c r="V177" i="4"/>
  <c r="W177" i="4" s="1"/>
  <c r="X176" i="4"/>
  <c r="Y176" i="4" s="1"/>
  <c r="V176" i="4"/>
  <c r="W176" i="4" s="1"/>
  <c r="X175" i="4"/>
  <c r="Y175" i="4" s="1"/>
  <c r="V175" i="4"/>
  <c r="W175" i="4" s="1"/>
  <c r="X174" i="4"/>
  <c r="Y174" i="4" s="1"/>
  <c r="V174" i="4"/>
  <c r="W174" i="4" s="1"/>
  <c r="X173" i="4"/>
  <c r="Y173" i="4" s="1"/>
  <c r="V173" i="4"/>
  <c r="W173" i="4" s="1"/>
  <c r="X172" i="4"/>
  <c r="Y172" i="4" s="1"/>
  <c r="V172" i="4"/>
  <c r="W172" i="4" s="1"/>
  <c r="X171" i="4"/>
  <c r="Y171" i="4" s="1"/>
  <c r="V171" i="4"/>
  <c r="W171" i="4" s="1"/>
  <c r="AE170" i="4"/>
  <c r="AD170" i="4"/>
  <c r="AC170" i="4"/>
  <c r="AB170" i="4"/>
  <c r="AA170" i="4"/>
  <c r="Z170" i="4"/>
  <c r="Y170" i="4"/>
  <c r="W170" i="4"/>
  <c r="X170" i="4"/>
  <c r="V170" i="4"/>
  <c r="AE162" i="4"/>
  <c r="AE160" i="4"/>
  <c r="AE158" i="4"/>
  <c r="AE156" i="4"/>
  <c r="AE155" i="4"/>
  <c r="AE153" i="4"/>
  <c r="AE152" i="4"/>
  <c r="AE150" i="4"/>
  <c r="AE149" i="4"/>
  <c r="AE147" i="4"/>
  <c r="AE146" i="4"/>
  <c r="AD162" i="4"/>
  <c r="AD160" i="4"/>
  <c r="AD158" i="4"/>
  <c r="AD156" i="4"/>
  <c r="AD155" i="4"/>
  <c r="AD153" i="4"/>
  <c r="AD152" i="4"/>
  <c r="AD150" i="4"/>
  <c r="AD149" i="4"/>
  <c r="AD147" i="4"/>
  <c r="AD146" i="4"/>
  <c r="AB162" i="4"/>
  <c r="AC162" i="4" s="1"/>
  <c r="Z162" i="4"/>
  <c r="AA162" i="4" s="1"/>
  <c r="AB160" i="4"/>
  <c r="AC160" i="4" s="1"/>
  <c r="Z160" i="4"/>
  <c r="AA160" i="4" s="1"/>
  <c r="AB158" i="4"/>
  <c r="AC158" i="4" s="1"/>
  <c r="Z158" i="4"/>
  <c r="AA158" i="4" s="1"/>
  <c r="AB156" i="4"/>
  <c r="AC156" i="4" s="1"/>
  <c r="Z156" i="4"/>
  <c r="AA156" i="4" s="1"/>
  <c r="AB155" i="4"/>
  <c r="AC155" i="4" s="1"/>
  <c r="Z155" i="4"/>
  <c r="AA155" i="4" s="1"/>
  <c r="AB153" i="4"/>
  <c r="AC153" i="4" s="1"/>
  <c r="Z153" i="4"/>
  <c r="AA153" i="4" s="1"/>
  <c r="AB152" i="4"/>
  <c r="AC152" i="4" s="1"/>
  <c r="Z152" i="4"/>
  <c r="AA152" i="4" s="1"/>
  <c r="AB150" i="4"/>
  <c r="AC150" i="4" s="1"/>
  <c r="Z150" i="4"/>
  <c r="AA150" i="4" s="1"/>
  <c r="AB149" i="4"/>
  <c r="AC149" i="4" s="1"/>
  <c r="Z149" i="4"/>
  <c r="AA149" i="4" s="1"/>
  <c r="AB147" i="4"/>
  <c r="AC147" i="4" s="1"/>
  <c r="Z147" i="4"/>
  <c r="AA147" i="4" s="1"/>
  <c r="AB146" i="4"/>
  <c r="Z146" i="4"/>
  <c r="X162" i="4"/>
  <c r="Y162" i="4" s="1"/>
  <c r="V162" i="4"/>
  <c r="W162" i="4" s="1"/>
  <c r="X160" i="4"/>
  <c r="Y160" i="4" s="1"/>
  <c r="V160" i="4"/>
  <c r="W160" i="4" s="1"/>
  <c r="X158" i="4"/>
  <c r="Y158" i="4" s="1"/>
  <c r="V158" i="4"/>
  <c r="W158" i="4" s="1"/>
  <c r="X156" i="4"/>
  <c r="Y156" i="4" s="1"/>
  <c r="V156" i="4"/>
  <c r="W156" i="4" s="1"/>
  <c r="X155" i="4"/>
  <c r="Y155" i="4" s="1"/>
  <c r="V155" i="4"/>
  <c r="W155" i="4" s="1"/>
  <c r="X153" i="4"/>
  <c r="Y153" i="4" s="1"/>
  <c r="V153" i="4"/>
  <c r="W153" i="4" s="1"/>
  <c r="X152" i="4"/>
  <c r="Y152" i="4" s="1"/>
  <c r="V152" i="4"/>
  <c r="W152" i="4" s="1"/>
  <c r="X150" i="4"/>
  <c r="Y150" i="4" s="1"/>
  <c r="V150" i="4"/>
  <c r="W150" i="4" s="1"/>
  <c r="X149" i="4"/>
  <c r="Y149" i="4" s="1"/>
  <c r="V149" i="4"/>
  <c r="W149" i="4" s="1"/>
  <c r="X147" i="4"/>
  <c r="Y147" i="4" s="1"/>
  <c r="V147" i="4"/>
  <c r="W147" i="4" s="1"/>
  <c r="AC146" i="4"/>
  <c r="AA146" i="4"/>
  <c r="Y146" i="4"/>
  <c r="X146" i="4"/>
  <c r="W146" i="4"/>
  <c r="V146" i="4"/>
  <c r="Z1423" i="2" l="1"/>
  <c r="AA1423" i="2" s="1"/>
  <c r="Z1414" i="2"/>
  <c r="AA1414" i="2" s="1"/>
  <c r="Z1415" i="2"/>
  <c r="AA1415" i="2" s="1"/>
  <c r="Z1416" i="2"/>
  <c r="AA1416" i="2" s="1"/>
  <c r="Z1417" i="2"/>
  <c r="AA1417" i="2" s="1"/>
  <c r="Z1418" i="2"/>
  <c r="AA1418" i="2" s="1"/>
  <c r="Z1419" i="2"/>
  <c r="AA1419" i="2" s="1"/>
  <c r="Z1420" i="2"/>
  <c r="AA1420" i="2" s="1"/>
  <c r="Z1421" i="2"/>
  <c r="AA1421" i="2" s="1"/>
  <c r="Z1296" i="2"/>
  <c r="AA1296" i="2" s="1"/>
  <c r="Z1287" i="2"/>
  <c r="AA1287" i="2" s="1"/>
  <c r="Z1288" i="2"/>
  <c r="AA1288" i="2" s="1"/>
  <c r="Z1289" i="2"/>
  <c r="AA1289" i="2" s="1"/>
  <c r="Z1290" i="2"/>
  <c r="AA1290" i="2" s="1"/>
  <c r="Z1291" i="2"/>
  <c r="AA1291" i="2" s="1"/>
  <c r="Z1292" i="2"/>
  <c r="AA1292" i="2" s="1"/>
  <c r="Z1293" i="2"/>
  <c r="AA1293" i="2" s="1"/>
  <c r="Z1294" i="2"/>
  <c r="AA1294" i="2" s="1"/>
  <c r="Z452" i="4"/>
  <c r="AA452" i="4" s="1"/>
  <c r="AB452" i="4"/>
  <c r="Z443" i="4"/>
  <c r="AA443" i="4" s="1"/>
  <c r="AB443" i="4"/>
  <c r="Z444" i="4"/>
  <c r="AA444" i="4" s="1"/>
  <c r="AB444" i="4"/>
  <c r="Z445" i="4"/>
  <c r="AA445" i="4" s="1"/>
  <c r="AB445" i="4"/>
  <c r="Z446" i="4"/>
  <c r="AA446" i="4" s="1"/>
  <c r="AB446" i="4"/>
  <c r="Z447" i="4"/>
  <c r="AA447" i="4" s="1"/>
  <c r="AB447" i="4"/>
  <c r="Z448" i="4"/>
  <c r="AA448" i="4" s="1"/>
  <c r="AB448" i="4"/>
  <c r="Z449" i="4"/>
  <c r="AA449" i="4" s="1"/>
  <c r="AB449" i="4"/>
  <c r="Z450" i="4"/>
  <c r="AA450" i="4" s="1"/>
  <c r="AB450" i="4"/>
  <c r="Z440" i="4"/>
  <c r="AA440" i="4" s="1"/>
  <c r="AB440" i="4"/>
  <c r="Z432" i="4"/>
  <c r="AA432" i="4" s="1"/>
  <c r="AB432" i="4"/>
  <c r="Z433" i="4"/>
  <c r="AA433" i="4" s="1"/>
  <c r="AB433" i="4"/>
  <c r="Z434" i="4"/>
  <c r="AA434" i="4" s="1"/>
  <c r="AB434" i="4"/>
  <c r="Z435" i="4"/>
  <c r="AA435" i="4" s="1"/>
  <c r="AB435" i="4"/>
  <c r="Z436" i="4"/>
  <c r="AA436" i="4" s="1"/>
  <c r="AB436" i="4"/>
  <c r="Z437" i="4"/>
  <c r="AA437" i="4" s="1"/>
  <c r="AB437" i="4"/>
  <c r="Z438" i="4"/>
  <c r="AA438" i="4" s="1"/>
  <c r="AB438" i="4"/>
  <c r="AB428" i="4"/>
  <c r="Z428" i="4"/>
  <c r="AA428" i="4" s="1"/>
  <c r="AA431" i="4"/>
  <c r="AA426" i="4"/>
  <c r="AA427" i="4"/>
  <c r="Z422" i="4"/>
  <c r="AA422" i="4" s="1"/>
  <c r="AB422" i="4"/>
  <c r="Z423" i="4"/>
  <c r="AA423" i="4" s="1"/>
  <c r="AB423" i="4"/>
  <c r="AA424" i="4"/>
  <c r="AA425" i="4"/>
  <c r="AA421" i="4"/>
  <c r="AD421" i="4"/>
  <c r="AD418" i="4"/>
  <c r="AE418" i="4" s="1"/>
  <c r="AC418" i="4"/>
  <c r="AE419" i="4"/>
  <c r="AC419" i="4"/>
  <c r="AD420" i="4"/>
  <c r="AE420" i="4" s="1"/>
  <c r="AC420" i="4"/>
  <c r="AB414" i="4"/>
  <c r="Z415" i="4"/>
  <c r="AA415" i="4" s="1"/>
  <c r="AA417" i="4"/>
  <c r="Z414" i="4"/>
  <c r="AA414" i="4" s="1"/>
  <c r="AB415" i="4"/>
  <c r="AA416" i="4"/>
  <c r="AE412" i="4"/>
  <c r="AD403" i="4"/>
  <c r="AD401" i="4"/>
  <c r="AE401" i="4" s="1"/>
  <c r="AD399" i="4"/>
  <c r="AE399" i="4" s="1"/>
  <c r="AD396" i="4"/>
  <c r="AE396" i="4" s="1"/>
  <c r="AC396" i="4"/>
  <c r="Z396" i="4"/>
  <c r="AD397" i="4"/>
  <c r="AE397" i="4" s="1"/>
  <c r="Y396" i="4"/>
  <c r="AD393" i="4"/>
  <c r="AE393" i="4" s="1"/>
  <c r="AC393" i="4"/>
  <c r="Z393" i="4"/>
  <c r="AD394" i="4"/>
  <c r="AE394" i="4" s="1"/>
  <c r="Y393" i="4"/>
  <c r="AD390" i="4"/>
  <c r="AE390" i="4" s="1"/>
  <c r="AC390" i="4"/>
  <c r="Z390" i="4"/>
  <c r="AD391" i="4"/>
  <c r="AE391" i="4" s="1"/>
  <c r="Y390" i="4"/>
  <c r="AD388" i="4"/>
  <c r="AE388" i="4" s="1"/>
  <c r="Z324" i="4"/>
  <c r="AA324" i="4" s="1"/>
  <c r="AB324" i="4"/>
  <c r="Z315" i="4"/>
  <c r="AA315" i="4" s="1"/>
  <c r="AB315" i="4"/>
  <c r="Z316" i="4"/>
  <c r="AA316" i="4" s="1"/>
  <c r="AB316" i="4"/>
  <c r="Z317" i="4"/>
  <c r="AA317" i="4" s="1"/>
  <c r="AB317" i="4"/>
  <c r="Z318" i="4"/>
  <c r="AA318" i="4" s="1"/>
  <c r="AB318" i="4"/>
  <c r="Z319" i="4"/>
  <c r="AA319" i="4" s="1"/>
  <c r="AB319" i="4"/>
  <c r="Z320" i="4"/>
  <c r="AA320" i="4" s="1"/>
  <c r="AB320" i="4"/>
  <c r="Z321" i="4"/>
  <c r="AA321" i="4" s="1"/>
  <c r="AB321" i="4"/>
  <c r="Z322" i="4"/>
  <c r="AA322" i="4" s="1"/>
  <c r="AB322" i="4"/>
  <c r="Z312" i="4"/>
  <c r="AA312" i="4" s="1"/>
  <c r="AB312" i="4"/>
  <c r="Z302" i="4"/>
  <c r="AA302" i="4" s="1"/>
  <c r="AB302" i="4"/>
  <c r="Z303" i="4"/>
  <c r="AA303" i="4" s="1"/>
  <c r="AB303" i="4"/>
  <c r="Z304" i="4"/>
  <c r="AA304" i="4" s="1"/>
  <c r="AB304" i="4"/>
  <c r="Z305" i="4"/>
  <c r="AA305" i="4" s="1"/>
  <c r="AB305" i="4"/>
  <c r="Z306" i="4"/>
  <c r="AA306" i="4" s="1"/>
  <c r="AB306" i="4"/>
  <c r="Z307" i="4"/>
  <c r="AA307" i="4" s="1"/>
  <c r="AB307" i="4"/>
  <c r="Z308" i="4"/>
  <c r="AA308" i="4" s="1"/>
  <c r="AB308" i="4"/>
  <c r="Z309" i="4"/>
  <c r="AA309" i="4" s="1"/>
  <c r="AB309" i="4"/>
  <c r="Z310" i="4"/>
  <c r="AA310" i="4" s="1"/>
  <c r="AB310" i="4"/>
  <c r="Z293" i="4"/>
  <c r="AA293" i="4" s="1"/>
  <c r="AB293" i="4"/>
  <c r="Z294" i="4"/>
  <c r="AA294" i="4" s="1"/>
  <c r="AB294" i="4"/>
  <c r="Z295" i="4"/>
  <c r="AA295" i="4" s="1"/>
  <c r="AB295" i="4"/>
  <c r="Z296" i="4"/>
  <c r="AA296" i="4" s="1"/>
  <c r="AB296" i="4"/>
  <c r="Z297" i="4"/>
  <c r="AA297" i="4" s="1"/>
  <c r="AB297" i="4"/>
  <c r="Z298" i="4"/>
  <c r="AA298" i="4" s="1"/>
  <c r="AB298" i="4"/>
  <c r="Z299" i="4"/>
  <c r="AA299" i="4" s="1"/>
  <c r="AB299" i="4"/>
  <c r="Z300" i="4"/>
  <c r="AA300" i="4" s="1"/>
  <c r="AB300" i="4"/>
  <c r="Z301" i="4"/>
  <c r="AA301" i="4" s="1"/>
  <c r="AB301" i="4"/>
  <c r="Z292" i="4"/>
  <c r="AA292" i="4" s="1"/>
  <c r="AB292" i="4"/>
  <c r="Z291" i="4"/>
  <c r="AA291" i="4" s="1"/>
  <c r="AB291" i="4"/>
  <c r="AD282" i="4"/>
  <c r="AE282" i="4" s="1"/>
  <c r="AD280" i="4"/>
  <c r="AE280" i="4" s="1"/>
  <c r="AD278" i="4"/>
  <c r="AE278" i="4" s="1"/>
  <c r="AD275" i="4"/>
  <c r="AE275" i="4" s="1"/>
  <c r="AD276" i="4"/>
  <c r="AE276" i="4" s="1"/>
  <c r="AD272" i="4"/>
  <c r="AE272" i="4" s="1"/>
  <c r="AD273" i="4"/>
  <c r="AE273" i="4" s="1"/>
  <c r="AD269" i="4"/>
  <c r="AE269" i="4" s="1"/>
  <c r="AD270" i="4"/>
  <c r="AE270" i="4" s="1"/>
  <c r="AD267" i="4"/>
  <c r="AE267" i="4" s="1"/>
  <c r="Z204" i="4"/>
  <c r="AA204" i="4" s="1"/>
  <c r="AB204" i="4"/>
  <c r="Z195" i="4"/>
  <c r="AA195" i="4" s="1"/>
  <c r="AB195" i="4"/>
  <c r="Z196" i="4"/>
  <c r="AA196" i="4" s="1"/>
  <c r="AB196" i="4"/>
  <c r="Z197" i="4"/>
  <c r="AA197" i="4" s="1"/>
  <c r="AB197" i="4"/>
  <c r="Z198" i="4"/>
  <c r="AA198" i="4" s="1"/>
  <c r="AB198" i="4"/>
  <c r="Z199" i="4"/>
  <c r="AA199" i="4" s="1"/>
  <c r="AB199" i="4"/>
  <c r="Z200" i="4"/>
  <c r="AA200" i="4" s="1"/>
  <c r="AB200" i="4"/>
  <c r="Z201" i="4"/>
  <c r="AA201" i="4" s="1"/>
  <c r="AB201" i="4"/>
  <c r="Z202" i="4"/>
  <c r="AA202" i="4" s="1"/>
  <c r="AB202" i="4"/>
  <c r="Z192" i="4"/>
  <c r="AA192" i="4" s="1"/>
  <c r="AB192" i="4"/>
  <c r="Z171" i="4"/>
  <c r="AA171" i="4" s="1"/>
  <c r="AB171" i="4"/>
  <c r="Z172" i="4"/>
  <c r="AA172" i="4" s="1"/>
  <c r="AB172" i="4"/>
  <c r="Z173" i="4"/>
  <c r="AA173" i="4" s="1"/>
  <c r="AB173" i="4"/>
  <c r="Z174" i="4"/>
  <c r="AA174" i="4" s="1"/>
  <c r="AB175" i="4"/>
  <c r="Z176" i="4"/>
  <c r="AA176" i="4" s="1"/>
  <c r="AB177" i="4"/>
  <c r="Z178" i="4"/>
  <c r="AA178" i="4" s="1"/>
  <c r="AB179" i="4"/>
  <c r="Z180" i="4"/>
  <c r="AA180" i="4" s="1"/>
  <c r="AB181" i="4"/>
  <c r="W182" i="4"/>
  <c r="Z182" i="4"/>
  <c r="AA182" i="4" s="1"/>
  <c r="AB174" i="4"/>
  <c r="Z175" i="4"/>
  <c r="AA175" i="4" s="1"/>
  <c r="AB176" i="4"/>
  <c r="Z177" i="4"/>
  <c r="AA177" i="4" s="1"/>
  <c r="AB178" i="4"/>
  <c r="Z179" i="4"/>
  <c r="AA179" i="4" s="1"/>
  <c r="AB180" i="4"/>
  <c r="Z181" i="4"/>
  <c r="AA181" i="4" s="1"/>
  <c r="AB182" i="4"/>
  <c r="Z183" i="4"/>
  <c r="AA183" i="4" s="1"/>
  <c r="AB183" i="4"/>
  <c r="Z184" i="4"/>
  <c r="AA184" i="4" s="1"/>
  <c r="AB184" i="4"/>
  <c r="Z185" i="4"/>
  <c r="AA185" i="4" s="1"/>
  <c r="AB185" i="4"/>
  <c r="Z186" i="4"/>
  <c r="AA186" i="4" s="1"/>
  <c r="AB186" i="4"/>
  <c r="Z187" i="4"/>
  <c r="AA187" i="4" s="1"/>
  <c r="AB187" i="4"/>
  <c r="Z188" i="4"/>
  <c r="AA188" i="4" s="1"/>
  <c r="AB188" i="4"/>
  <c r="Z189" i="4"/>
  <c r="AA189" i="4" s="1"/>
  <c r="AB189" i="4"/>
  <c r="Z190" i="4"/>
  <c r="AA190" i="4" s="1"/>
  <c r="AB190" i="4"/>
  <c r="Y1411" i="2"/>
  <c r="X1411" i="2"/>
  <c r="Z1411" i="2" s="1"/>
  <c r="W1411" i="2"/>
  <c r="V1411" i="2"/>
  <c r="Y1409" i="2"/>
  <c r="X1409" i="2"/>
  <c r="Z1409" i="2" s="1"/>
  <c r="W1409" i="2"/>
  <c r="V1409" i="2"/>
  <c r="X1408" i="2"/>
  <c r="Y1408" i="2" s="1"/>
  <c r="V1408" i="2"/>
  <c r="W1408" i="2" s="1"/>
  <c r="Y1407" i="2"/>
  <c r="X1407" i="2"/>
  <c r="Z1407" i="2" s="1"/>
  <c r="W1407" i="2"/>
  <c r="V1407" i="2"/>
  <c r="X1406" i="2"/>
  <c r="Y1406" i="2" s="1"/>
  <c r="V1406" i="2"/>
  <c r="W1406" i="2" s="1"/>
  <c r="Y1405" i="2"/>
  <c r="X1405" i="2"/>
  <c r="Z1405" i="2" s="1"/>
  <c r="W1405" i="2"/>
  <c r="V1405" i="2"/>
  <c r="X1404" i="2"/>
  <c r="Y1404" i="2" s="1"/>
  <c r="V1404" i="2"/>
  <c r="W1404" i="2" s="1"/>
  <c r="Y1403" i="2"/>
  <c r="X1403" i="2"/>
  <c r="Z1403" i="2" s="1"/>
  <c r="W1403" i="2"/>
  <c r="V1403" i="2"/>
  <c r="X1402" i="2"/>
  <c r="Y1402" i="2" s="1"/>
  <c r="V1402" i="2"/>
  <c r="W1402" i="2" s="1"/>
  <c r="Y1401" i="2"/>
  <c r="X1401" i="2"/>
  <c r="W1401" i="2"/>
  <c r="V1401" i="2"/>
  <c r="X1400" i="2"/>
  <c r="Y1400" i="2" s="1"/>
  <c r="V1400" i="2"/>
  <c r="W1400" i="2" s="1"/>
  <c r="Y1399" i="2"/>
  <c r="X1399" i="2"/>
  <c r="Z1399" i="2" s="1"/>
  <c r="W1399" i="2"/>
  <c r="V1399" i="2"/>
  <c r="X1398" i="2"/>
  <c r="Y1398" i="2" s="1"/>
  <c r="V1398" i="2"/>
  <c r="W1398" i="2" s="1"/>
  <c r="Y1397" i="2"/>
  <c r="X1397" i="2"/>
  <c r="W1397" i="2"/>
  <c r="V1397" i="2"/>
  <c r="X1396" i="2"/>
  <c r="V1396" i="2"/>
  <c r="X1395" i="2"/>
  <c r="V1395" i="2"/>
  <c r="Y1396" i="2"/>
  <c r="W1396" i="2"/>
  <c r="Y1395" i="2"/>
  <c r="W1395" i="2"/>
  <c r="X1394" i="2"/>
  <c r="Y1394" i="2" s="1"/>
  <c r="V1394" i="2"/>
  <c r="W1394" i="2" s="1"/>
  <c r="X1393" i="2"/>
  <c r="Y1393" i="2" s="1"/>
  <c r="V1393" i="2"/>
  <c r="W1393" i="2" s="1"/>
  <c r="X1392" i="2"/>
  <c r="Y1392" i="2" s="1"/>
  <c r="V1392" i="2"/>
  <c r="W1392" i="2" s="1"/>
  <c r="X1391" i="2"/>
  <c r="V1391" i="2"/>
  <c r="X1390" i="2"/>
  <c r="V1390" i="2"/>
  <c r="Y1391" i="2"/>
  <c r="W1391" i="2"/>
  <c r="Y1390" i="2"/>
  <c r="W1390" i="2"/>
  <c r="X1389" i="2"/>
  <c r="Y1389" i="2" s="1"/>
  <c r="V1389" i="2"/>
  <c r="W1389" i="2" s="1"/>
  <c r="X1388" i="2"/>
  <c r="Y1388" i="2" s="1"/>
  <c r="V1388" i="2"/>
  <c r="W1388" i="2" s="1"/>
  <c r="X1387" i="2"/>
  <c r="Y1387" i="2" s="1"/>
  <c r="V1387" i="2"/>
  <c r="W1387" i="2" s="1"/>
  <c r="X1386" i="2"/>
  <c r="Y1386" i="2" s="1"/>
  <c r="V1386" i="2"/>
  <c r="W1386" i="2" s="1"/>
  <c r="X1385" i="2"/>
  <c r="Y1385" i="2" s="1"/>
  <c r="V1385" i="2"/>
  <c r="W1385" i="2" s="1"/>
  <c r="X1384" i="2"/>
  <c r="Y1384" i="2" s="1"/>
  <c r="V1384" i="2"/>
  <c r="W1384" i="2" s="1"/>
  <c r="X1383" i="2"/>
  <c r="Y1383" i="2" s="1"/>
  <c r="V1383" i="2"/>
  <c r="W1383" i="2" s="1"/>
  <c r="X1382" i="2"/>
  <c r="V1382" i="2"/>
  <c r="X1374" i="2"/>
  <c r="Y1374" i="2" s="1"/>
  <c r="V1374" i="2"/>
  <c r="W1374" i="2" s="1"/>
  <c r="X1372" i="2"/>
  <c r="Y1372" i="2" s="1"/>
  <c r="V1372" i="2"/>
  <c r="W1372" i="2" s="1"/>
  <c r="X1370" i="2"/>
  <c r="Y1370" i="2" s="1"/>
  <c r="V1370" i="2"/>
  <c r="W1370" i="2" s="1"/>
  <c r="X1368" i="2"/>
  <c r="Y1368" i="2" s="1"/>
  <c r="V1368" i="2"/>
  <c r="W1368" i="2" s="1"/>
  <c r="X1367" i="2"/>
  <c r="Y1367" i="2" s="1"/>
  <c r="V1367" i="2"/>
  <c r="W1367" i="2" s="1"/>
  <c r="X1365" i="2"/>
  <c r="Y1365" i="2" s="1"/>
  <c r="V1365" i="2"/>
  <c r="W1365" i="2" s="1"/>
  <c r="X1364" i="2"/>
  <c r="Y1364" i="2" s="1"/>
  <c r="V1364" i="2"/>
  <c r="W1364" i="2" s="1"/>
  <c r="X1362" i="2"/>
  <c r="Y1362" i="2" s="1"/>
  <c r="V1362" i="2"/>
  <c r="W1362" i="2" s="1"/>
  <c r="X1361" i="2"/>
  <c r="Y1361" i="2" s="1"/>
  <c r="V1361" i="2"/>
  <c r="W1361" i="2" s="1"/>
  <c r="X1359" i="2"/>
  <c r="Y1359" i="2" s="1"/>
  <c r="V1359" i="2"/>
  <c r="W1359" i="2" s="1"/>
  <c r="W1358" i="2"/>
  <c r="X1358" i="2"/>
  <c r="V1358" i="2"/>
  <c r="X1284" i="2"/>
  <c r="Y1284" i="2" s="1"/>
  <c r="V1284" i="2"/>
  <c r="W1284" i="2" s="1"/>
  <c r="X1258" i="2"/>
  <c r="X1270" i="2"/>
  <c r="X1274" i="2"/>
  <c r="X1273" i="2"/>
  <c r="X1278" i="2"/>
  <c r="Y1278" i="2" s="1"/>
  <c r="V1278" i="2"/>
  <c r="W1278" i="2" s="1"/>
  <c r="X1282" i="2"/>
  <c r="Y1282" i="2" s="1"/>
  <c r="V1282" i="2"/>
  <c r="W1282" i="2" s="1"/>
  <c r="X1281" i="2"/>
  <c r="Y1281" i="2" s="1"/>
  <c r="V1281" i="2"/>
  <c r="W1281" i="2" s="1"/>
  <c r="X1280" i="2"/>
  <c r="Y1280" i="2" s="1"/>
  <c r="V1280" i="2"/>
  <c r="W1280" i="2" s="1"/>
  <c r="X1279" i="2"/>
  <c r="Y1279" i="2" s="1"/>
  <c r="V1279" i="2"/>
  <c r="W1279" i="2" s="1"/>
  <c r="X1277" i="2"/>
  <c r="Y1277" i="2" s="1"/>
  <c r="V1277" i="2"/>
  <c r="W1277" i="2" s="1"/>
  <c r="X1276" i="2"/>
  <c r="Y1276" i="2" s="1"/>
  <c r="V1276" i="2"/>
  <c r="W1276" i="2" s="1"/>
  <c r="X1275" i="2"/>
  <c r="V1275" i="2"/>
  <c r="Y1275" i="2"/>
  <c r="W1275" i="2"/>
  <c r="Y1274" i="2"/>
  <c r="W1274" i="2"/>
  <c r="Y1273" i="2"/>
  <c r="W1273" i="2"/>
  <c r="X1272" i="2"/>
  <c r="Y1272" i="2" s="1"/>
  <c r="V1272" i="2"/>
  <c r="W1272" i="2" s="1"/>
  <c r="X1271" i="2"/>
  <c r="V1271" i="2"/>
  <c r="Y1271" i="2"/>
  <c r="W1271" i="2"/>
  <c r="Y1270" i="2"/>
  <c r="W1270" i="2"/>
  <c r="X1269" i="2"/>
  <c r="Y1269" i="2" s="1"/>
  <c r="V1269" i="2"/>
  <c r="W1269" i="2" s="1"/>
  <c r="X1268" i="2"/>
  <c r="Y1268" i="2" s="1"/>
  <c r="V1268" i="2"/>
  <c r="W1268" i="2" s="1"/>
  <c r="X1267" i="2"/>
  <c r="Y1267" i="2" s="1"/>
  <c r="V1267" i="2"/>
  <c r="W1267" i="2" s="1"/>
  <c r="X1266" i="2"/>
  <c r="Y1266" i="2" s="1"/>
  <c r="V1266" i="2"/>
  <c r="W1266" i="2" s="1"/>
  <c r="X1265" i="2"/>
  <c r="Y1265" i="2" s="1"/>
  <c r="V1265" i="2"/>
  <c r="W1265" i="2" s="1"/>
  <c r="X1264" i="2"/>
  <c r="Y1264" i="2" s="1"/>
  <c r="V1264" i="2"/>
  <c r="W1264" i="2" s="1"/>
  <c r="X1263" i="2"/>
  <c r="V1263" i="2"/>
  <c r="X1261" i="2"/>
  <c r="Y1261" i="2" s="1"/>
  <c r="V1261" i="2"/>
  <c r="W1261" i="2" s="1"/>
  <c r="X1260" i="2"/>
  <c r="Y1260" i="2" s="1"/>
  <c r="V1260" i="2"/>
  <c r="W1260" i="2" s="1"/>
  <c r="X1259" i="2"/>
  <c r="V1259" i="2"/>
  <c r="Y1263" i="2"/>
  <c r="W1263" i="2"/>
  <c r="X1262" i="2"/>
  <c r="Y1262" i="2" s="1"/>
  <c r="V1262" i="2"/>
  <c r="W1262" i="2" s="1"/>
  <c r="Y1259" i="2"/>
  <c r="W1259" i="2"/>
  <c r="Y1258" i="2"/>
  <c r="W1258" i="2"/>
  <c r="V1257" i="2"/>
  <c r="Z1263" i="2"/>
  <c r="AA1263" i="2" s="1"/>
  <c r="Z1259" i="2"/>
  <c r="AA1259" i="2" s="1"/>
  <c r="X1257" i="2"/>
  <c r="X1249" i="2"/>
  <c r="Y1249" i="2" s="1"/>
  <c r="V1249" i="2"/>
  <c r="W1249" i="2" s="1"/>
  <c r="X1247" i="2"/>
  <c r="Y1247" i="2" s="1"/>
  <c r="V1247" i="2"/>
  <c r="W1247" i="2" s="1"/>
  <c r="X1245" i="2"/>
  <c r="Y1245" i="2" s="1"/>
  <c r="V1245" i="2"/>
  <c r="W1245" i="2" s="1"/>
  <c r="X1243" i="2"/>
  <c r="Y1243" i="2" s="1"/>
  <c r="V1243" i="2"/>
  <c r="W1243" i="2" s="1"/>
  <c r="X1242" i="2"/>
  <c r="Y1242" i="2" s="1"/>
  <c r="V1242" i="2"/>
  <c r="W1242" i="2" s="1"/>
  <c r="X1240" i="2"/>
  <c r="Y1240" i="2" s="1"/>
  <c r="V1240" i="2"/>
  <c r="W1240" i="2" s="1"/>
  <c r="X1239" i="2"/>
  <c r="Y1239" i="2" s="1"/>
  <c r="V1239" i="2"/>
  <c r="W1239" i="2" s="1"/>
  <c r="X1237" i="2"/>
  <c r="Y1237" i="2" s="1"/>
  <c r="V1237" i="2"/>
  <c r="W1237" i="2" s="1"/>
  <c r="X1236" i="2"/>
  <c r="Y1236" i="2" s="1"/>
  <c r="V1236" i="2"/>
  <c r="W1236" i="2" s="1"/>
  <c r="X1234" i="2"/>
  <c r="Y1234" i="2" s="1"/>
  <c r="V1234" i="2"/>
  <c r="W1234" i="2" s="1"/>
  <c r="X1170" i="2"/>
  <c r="Y1170" i="2" s="1"/>
  <c r="V1170" i="2"/>
  <c r="W1170" i="2" s="1"/>
  <c r="X1168" i="2"/>
  <c r="Y1168" i="2" s="1"/>
  <c r="V1168" i="2"/>
  <c r="W1168" i="2" s="1"/>
  <c r="X1167" i="2"/>
  <c r="Y1167" i="2" s="1"/>
  <c r="V1167" i="2"/>
  <c r="W1167" i="2" s="1"/>
  <c r="X1166" i="2"/>
  <c r="Y1166" i="2" s="1"/>
  <c r="V1166" i="2"/>
  <c r="W1166" i="2" s="1"/>
  <c r="X1165" i="2"/>
  <c r="Y1165" i="2" s="1"/>
  <c r="V1165" i="2"/>
  <c r="W1165" i="2" s="1"/>
  <c r="X1164" i="2"/>
  <c r="Y1164" i="2" s="1"/>
  <c r="V1164" i="2"/>
  <c r="W1164" i="2" s="1"/>
  <c r="X1163" i="2"/>
  <c r="Y1163" i="2" s="1"/>
  <c r="V1163" i="2"/>
  <c r="W1163" i="2" s="1"/>
  <c r="X1162" i="2"/>
  <c r="Y1162" i="2" s="1"/>
  <c r="V1162" i="2"/>
  <c r="W1162" i="2" s="1"/>
  <c r="X1161" i="2"/>
  <c r="Y1161" i="2" s="1"/>
  <c r="V1161" i="2"/>
  <c r="W1161" i="2" s="1"/>
  <c r="X1158" i="2"/>
  <c r="Y1158" i="2" s="1"/>
  <c r="V1158" i="2"/>
  <c r="W1158" i="2" s="1"/>
  <c r="X1156" i="2"/>
  <c r="Y1156" i="2" s="1"/>
  <c r="V1156" i="2"/>
  <c r="W1156" i="2" s="1"/>
  <c r="X1155" i="2"/>
  <c r="Y1155" i="2" s="1"/>
  <c r="V1155" i="2"/>
  <c r="W1155" i="2" s="1"/>
  <c r="X1154" i="2"/>
  <c r="Y1154" i="2" s="1"/>
  <c r="V1154" i="2"/>
  <c r="W1154" i="2" s="1"/>
  <c r="X1153" i="2"/>
  <c r="Y1153" i="2" s="1"/>
  <c r="V1153" i="2"/>
  <c r="W1153" i="2" s="1"/>
  <c r="X1152" i="2"/>
  <c r="Y1152" i="2" s="1"/>
  <c r="V1152" i="2"/>
  <c r="W1152" i="2" s="1"/>
  <c r="X1151" i="2"/>
  <c r="Y1151" i="2" s="1"/>
  <c r="V1151" i="2"/>
  <c r="W1151" i="2" s="1"/>
  <c r="X1150" i="2"/>
  <c r="Y1150" i="2" s="1"/>
  <c r="V1150" i="2"/>
  <c r="W1150" i="2" s="1"/>
  <c r="X1149" i="2"/>
  <c r="Y1149" i="2" s="1"/>
  <c r="V1149" i="2"/>
  <c r="W1149" i="2" s="1"/>
  <c r="X1148" i="2"/>
  <c r="Y1148" i="2" s="1"/>
  <c r="V1148" i="2"/>
  <c r="W1148" i="2" s="1"/>
  <c r="X1147" i="2"/>
  <c r="Y1147" i="2" s="1"/>
  <c r="V1147" i="2"/>
  <c r="W1147" i="2" s="1"/>
  <c r="X1146" i="2"/>
  <c r="Y1146" i="2" s="1"/>
  <c r="V1146" i="2"/>
  <c r="W1146" i="2" s="1"/>
  <c r="X1145" i="2"/>
  <c r="Y1145" i="2" s="1"/>
  <c r="V1145" i="2"/>
  <c r="W1145" i="2" s="1"/>
  <c r="X1144" i="2"/>
  <c r="Y1144" i="2" s="1"/>
  <c r="V1144" i="2"/>
  <c r="W1144" i="2" s="1"/>
  <c r="X1143" i="2"/>
  <c r="Y1143" i="2" s="1"/>
  <c r="V1143" i="2"/>
  <c r="W1143" i="2" s="1"/>
  <c r="X1142" i="2"/>
  <c r="Y1142" i="2" s="1"/>
  <c r="V1142" i="2"/>
  <c r="W1142" i="2" s="1"/>
  <c r="X1141" i="2"/>
  <c r="Y1141" i="2" s="1"/>
  <c r="V1141" i="2"/>
  <c r="W1141" i="2" s="1"/>
  <c r="X1140" i="2"/>
  <c r="Y1140" i="2" s="1"/>
  <c r="V1140" i="2"/>
  <c r="W1140" i="2" s="1"/>
  <c r="X1139" i="2"/>
  <c r="Y1139" i="2" s="1"/>
  <c r="V1139" i="2"/>
  <c r="W1139" i="2" s="1"/>
  <c r="X1138" i="2"/>
  <c r="Y1138" i="2" s="1"/>
  <c r="V1138" i="2"/>
  <c r="W1138" i="2" s="1"/>
  <c r="X1137" i="2"/>
  <c r="Y1137" i="2" s="1"/>
  <c r="V1137" i="2"/>
  <c r="W1137" i="2" s="1"/>
  <c r="V1136" i="2"/>
  <c r="X1128" i="2"/>
  <c r="Y1128" i="2" s="1"/>
  <c r="V1128" i="2"/>
  <c r="W1128" i="2" s="1"/>
  <c r="X1126" i="2"/>
  <c r="Y1126" i="2" s="1"/>
  <c r="V1126" i="2"/>
  <c r="W1126" i="2" s="1"/>
  <c r="X1124" i="2"/>
  <c r="Y1124" i="2" s="1"/>
  <c r="V1124" i="2"/>
  <c r="W1124" i="2" s="1"/>
  <c r="X1122" i="2"/>
  <c r="Y1122" i="2" s="1"/>
  <c r="V1122" i="2"/>
  <c r="W1122" i="2" s="1"/>
  <c r="X1121" i="2"/>
  <c r="Y1121" i="2" s="1"/>
  <c r="V1121" i="2"/>
  <c r="W1121" i="2" s="1"/>
  <c r="X1119" i="2"/>
  <c r="Y1119" i="2" s="1"/>
  <c r="V1119" i="2"/>
  <c r="W1119" i="2" s="1"/>
  <c r="X1118" i="2"/>
  <c r="Y1118" i="2" s="1"/>
  <c r="V1118" i="2"/>
  <c r="W1118" i="2" s="1"/>
  <c r="X1116" i="2"/>
  <c r="Y1116" i="2" s="1"/>
  <c r="V1116" i="2"/>
  <c r="W1116" i="2" s="1"/>
  <c r="X1115" i="2"/>
  <c r="Y1115" i="2" s="1"/>
  <c r="V1115" i="2"/>
  <c r="W1115" i="2" s="1"/>
  <c r="X1113" i="2"/>
  <c r="Y1113" i="2" s="1"/>
  <c r="V1113" i="2"/>
  <c r="W1113" i="2" s="1"/>
  <c r="X1112" i="2"/>
  <c r="V1112" i="2"/>
  <c r="X1048" i="2"/>
  <c r="Y1048" i="2" s="1"/>
  <c r="V1048" i="2"/>
  <c r="W1048" i="2" s="1"/>
  <c r="X1046" i="2"/>
  <c r="Y1046" i="2" s="1"/>
  <c r="V1046" i="2"/>
  <c r="W1046" i="2" s="1"/>
  <c r="X1045" i="2"/>
  <c r="Y1045" i="2" s="1"/>
  <c r="V1045" i="2"/>
  <c r="W1045" i="2" s="1"/>
  <c r="X1044" i="2"/>
  <c r="Y1044" i="2" s="1"/>
  <c r="V1044" i="2"/>
  <c r="W1044" i="2" s="1"/>
  <c r="X1043" i="2"/>
  <c r="Y1043" i="2" s="1"/>
  <c r="V1043" i="2"/>
  <c r="W1043" i="2" s="1"/>
  <c r="X1042" i="2"/>
  <c r="Y1042" i="2" s="1"/>
  <c r="V1042" i="2"/>
  <c r="W1042" i="2" s="1"/>
  <c r="X1041" i="2"/>
  <c r="Y1041" i="2" s="1"/>
  <c r="V1041" i="2"/>
  <c r="W1041" i="2" s="1"/>
  <c r="X1040" i="2"/>
  <c r="Y1040" i="2" s="1"/>
  <c r="V1040" i="2"/>
  <c r="W1040" i="2" s="1"/>
  <c r="X1039" i="2"/>
  <c r="Y1039" i="2" s="1"/>
  <c r="V1039" i="2"/>
  <c r="W1039" i="2" s="1"/>
  <c r="X1036" i="2"/>
  <c r="Y1036" i="2" s="1"/>
  <c r="V1036" i="2"/>
  <c r="W1036" i="2" s="1"/>
  <c r="X1034" i="2"/>
  <c r="Y1034" i="2" s="1"/>
  <c r="V1034" i="2"/>
  <c r="W1034" i="2" s="1"/>
  <c r="X1033" i="2"/>
  <c r="Y1033" i="2" s="1"/>
  <c r="V1033" i="2"/>
  <c r="W1033" i="2" s="1"/>
  <c r="X1032" i="2"/>
  <c r="Y1032" i="2" s="1"/>
  <c r="V1032" i="2"/>
  <c r="W1032" i="2" s="1"/>
  <c r="X1031" i="2"/>
  <c r="Y1031" i="2" s="1"/>
  <c r="V1031" i="2"/>
  <c r="W1031" i="2" s="1"/>
  <c r="X1030" i="2"/>
  <c r="Y1030" i="2" s="1"/>
  <c r="V1030" i="2"/>
  <c r="W1030" i="2" s="1"/>
  <c r="X1029" i="2"/>
  <c r="Y1029" i="2" s="1"/>
  <c r="V1029" i="2"/>
  <c r="W1029" i="2" s="1"/>
  <c r="X1028" i="2"/>
  <c r="Y1028" i="2" s="1"/>
  <c r="V1028" i="2"/>
  <c r="W1028" i="2" s="1"/>
  <c r="X1027" i="2"/>
  <c r="Y1027" i="2" s="1"/>
  <c r="V1027" i="2"/>
  <c r="W1027" i="2" s="1"/>
  <c r="X1026" i="2"/>
  <c r="Y1026" i="2" s="1"/>
  <c r="V1026" i="2"/>
  <c r="W1026" i="2" s="1"/>
  <c r="X1025" i="2"/>
  <c r="Y1025" i="2" s="1"/>
  <c r="V1025" i="2"/>
  <c r="W1025" i="2" s="1"/>
  <c r="X1024" i="2"/>
  <c r="Y1024" i="2" s="1"/>
  <c r="V1024" i="2"/>
  <c r="W1024" i="2" s="1"/>
  <c r="X1023" i="2"/>
  <c r="Y1023" i="2" s="1"/>
  <c r="V1023" i="2"/>
  <c r="W1023" i="2" s="1"/>
  <c r="X1022" i="2"/>
  <c r="Y1022" i="2" s="1"/>
  <c r="V1022" i="2"/>
  <c r="W1022" i="2" s="1"/>
  <c r="X1021" i="2"/>
  <c r="Y1021" i="2" s="1"/>
  <c r="V1021" i="2"/>
  <c r="W1021" i="2" s="1"/>
  <c r="X1020" i="2"/>
  <c r="Y1020" i="2" s="1"/>
  <c r="V1020" i="2"/>
  <c r="W1020" i="2" s="1"/>
  <c r="X1019" i="2"/>
  <c r="Y1019" i="2" s="1"/>
  <c r="V1019" i="2"/>
  <c r="W1019" i="2" s="1"/>
  <c r="X1018" i="2"/>
  <c r="Y1018" i="2" s="1"/>
  <c r="V1018" i="2"/>
  <c r="W1018" i="2" s="1"/>
  <c r="X1017" i="2"/>
  <c r="Y1017" i="2" s="1"/>
  <c r="V1017" i="2"/>
  <c r="W1017" i="2" s="1"/>
  <c r="X1016" i="2"/>
  <c r="Y1016" i="2" s="1"/>
  <c r="V1016" i="2"/>
  <c r="W1016" i="2" s="1"/>
  <c r="X1015" i="2"/>
  <c r="Y1015" i="2" s="1"/>
  <c r="V1015" i="2"/>
  <c r="W1015" i="2" s="1"/>
  <c r="V1014" i="2"/>
  <c r="X1006" i="2"/>
  <c r="Y1006" i="2" s="1"/>
  <c r="V1006" i="2"/>
  <c r="W1006" i="2" s="1"/>
  <c r="X1004" i="2"/>
  <c r="Y1004" i="2" s="1"/>
  <c r="V1004" i="2"/>
  <c r="W1004" i="2" s="1"/>
  <c r="X1002" i="2"/>
  <c r="Y1002" i="2" s="1"/>
  <c r="V1002" i="2"/>
  <c r="W1002" i="2" s="1"/>
  <c r="X1000" i="2"/>
  <c r="Y1000" i="2" s="1"/>
  <c r="V1000" i="2"/>
  <c r="W1000" i="2" s="1"/>
  <c r="X999" i="2"/>
  <c r="Y999" i="2" s="1"/>
  <c r="V999" i="2"/>
  <c r="W999" i="2" s="1"/>
  <c r="X997" i="2"/>
  <c r="Y997" i="2" s="1"/>
  <c r="V997" i="2"/>
  <c r="W997" i="2" s="1"/>
  <c r="X996" i="2"/>
  <c r="Y996" i="2" s="1"/>
  <c r="V996" i="2"/>
  <c r="W996" i="2" s="1"/>
  <c r="X994" i="2"/>
  <c r="Y994" i="2" s="1"/>
  <c r="V994" i="2"/>
  <c r="W994" i="2" s="1"/>
  <c r="X993" i="2"/>
  <c r="Y993" i="2" s="1"/>
  <c r="V993" i="2"/>
  <c r="W993" i="2" s="1"/>
  <c r="X991" i="2"/>
  <c r="Y991" i="2" s="1"/>
  <c r="V991" i="2"/>
  <c r="W991" i="2" s="1"/>
  <c r="X990" i="2"/>
  <c r="V990" i="2"/>
  <c r="X926" i="2"/>
  <c r="Y926" i="2" s="1"/>
  <c r="V926" i="2"/>
  <c r="W926" i="2" s="1"/>
  <c r="X924" i="2"/>
  <c r="Y924" i="2" s="1"/>
  <c r="V924" i="2"/>
  <c r="W924" i="2" s="1"/>
  <c r="X923" i="2"/>
  <c r="Y923" i="2" s="1"/>
  <c r="V923" i="2"/>
  <c r="W923" i="2" s="1"/>
  <c r="X922" i="2"/>
  <c r="Y922" i="2" s="1"/>
  <c r="V922" i="2"/>
  <c r="W922" i="2" s="1"/>
  <c r="X921" i="2"/>
  <c r="Y921" i="2" s="1"/>
  <c r="V921" i="2"/>
  <c r="W921" i="2" s="1"/>
  <c r="X920" i="2"/>
  <c r="Y920" i="2" s="1"/>
  <c r="V920" i="2"/>
  <c r="W920" i="2" s="1"/>
  <c r="X919" i="2"/>
  <c r="Y919" i="2" s="1"/>
  <c r="V919" i="2"/>
  <c r="W919" i="2" s="1"/>
  <c r="X918" i="2"/>
  <c r="Y918" i="2" s="1"/>
  <c r="V918" i="2"/>
  <c r="W918" i="2" s="1"/>
  <c r="X917" i="2"/>
  <c r="Y917" i="2" s="1"/>
  <c r="V917" i="2"/>
  <c r="W917" i="2" s="1"/>
  <c r="X914" i="2"/>
  <c r="Y914" i="2" s="1"/>
  <c r="V914" i="2"/>
  <c r="W914" i="2" s="1"/>
  <c r="X912" i="2"/>
  <c r="Y912" i="2" s="1"/>
  <c r="V912" i="2"/>
  <c r="W912" i="2" s="1"/>
  <c r="X911" i="2"/>
  <c r="Y911" i="2" s="1"/>
  <c r="V911" i="2"/>
  <c r="W911" i="2" s="1"/>
  <c r="X910" i="2"/>
  <c r="Y910" i="2" s="1"/>
  <c r="V910" i="2"/>
  <c r="W910" i="2" s="1"/>
  <c r="X909" i="2"/>
  <c r="Y909" i="2" s="1"/>
  <c r="V909" i="2"/>
  <c r="W909" i="2" s="1"/>
  <c r="X908" i="2"/>
  <c r="Y908" i="2" s="1"/>
  <c r="V908" i="2"/>
  <c r="W908" i="2" s="1"/>
  <c r="X907" i="2"/>
  <c r="Y907" i="2" s="1"/>
  <c r="V907" i="2"/>
  <c r="W907" i="2" s="1"/>
  <c r="X906" i="2"/>
  <c r="Y906" i="2" s="1"/>
  <c r="V906" i="2"/>
  <c r="W906" i="2" s="1"/>
  <c r="X905" i="2"/>
  <c r="Y905" i="2" s="1"/>
  <c r="V905" i="2"/>
  <c r="W905" i="2" s="1"/>
  <c r="X904" i="2"/>
  <c r="Y904" i="2" s="1"/>
  <c r="V904" i="2"/>
  <c r="W904" i="2" s="1"/>
  <c r="X903" i="2"/>
  <c r="Y903" i="2" s="1"/>
  <c r="V903" i="2"/>
  <c r="W903" i="2" s="1"/>
  <c r="X902" i="2"/>
  <c r="Y902" i="2" s="1"/>
  <c r="V902" i="2"/>
  <c r="W902" i="2" s="1"/>
  <c r="X901" i="2"/>
  <c r="Y901" i="2" s="1"/>
  <c r="V901" i="2"/>
  <c r="W901" i="2" s="1"/>
  <c r="X900" i="2"/>
  <c r="Y900" i="2" s="1"/>
  <c r="V900" i="2"/>
  <c r="W900" i="2" s="1"/>
  <c r="X899" i="2"/>
  <c r="Y899" i="2" s="1"/>
  <c r="V899" i="2"/>
  <c r="W899" i="2" s="1"/>
  <c r="X898" i="2"/>
  <c r="Y898" i="2" s="1"/>
  <c r="V898" i="2"/>
  <c r="W898" i="2" s="1"/>
  <c r="X897" i="2"/>
  <c r="Y897" i="2" s="1"/>
  <c r="V897" i="2"/>
  <c r="W897" i="2" s="1"/>
  <c r="X896" i="2"/>
  <c r="Y896" i="2" s="1"/>
  <c r="V896" i="2"/>
  <c r="W896" i="2" s="1"/>
  <c r="X895" i="2"/>
  <c r="Y895" i="2" s="1"/>
  <c r="V895" i="2"/>
  <c r="W895" i="2" s="1"/>
  <c r="X894" i="2"/>
  <c r="Y894" i="2" s="1"/>
  <c r="V894" i="2"/>
  <c r="W894" i="2" s="1"/>
  <c r="X893" i="2"/>
  <c r="Y893" i="2" s="1"/>
  <c r="V893" i="2"/>
  <c r="W893" i="2" s="1"/>
  <c r="X892" i="2"/>
  <c r="V892" i="2"/>
  <c r="X884" i="2"/>
  <c r="Y884" i="2" s="1"/>
  <c r="V884" i="2"/>
  <c r="W884" i="2" s="1"/>
  <c r="X882" i="2"/>
  <c r="Y882" i="2" s="1"/>
  <c r="V882" i="2"/>
  <c r="W882" i="2" s="1"/>
  <c r="X880" i="2"/>
  <c r="Y880" i="2" s="1"/>
  <c r="V880" i="2"/>
  <c r="W880" i="2" s="1"/>
  <c r="X878" i="2"/>
  <c r="Y878" i="2" s="1"/>
  <c r="V878" i="2"/>
  <c r="W878" i="2" s="1"/>
  <c r="X877" i="2"/>
  <c r="Y877" i="2" s="1"/>
  <c r="V877" i="2"/>
  <c r="W877" i="2" s="1"/>
  <c r="X875" i="2"/>
  <c r="Y875" i="2" s="1"/>
  <c r="V875" i="2"/>
  <c r="W875" i="2" s="1"/>
  <c r="X874" i="2"/>
  <c r="Y874" i="2" s="1"/>
  <c r="V874" i="2"/>
  <c r="W874" i="2" s="1"/>
  <c r="X872" i="2"/>
  <c r="Y872" i="2" s="1"/>
  <c r="V872" i="2"/>
  <c r="W872" i="2" s="1"/>
  <c r="X871" i="2"/>
  <c r="Y871" i="2" s="1"/>
  <c r="V871" i="2"/>
  <c r="W871" i="2" s="1"/>
  <c r="X869" i="2"/>
  <c r="Y869" i="2" s="1"/>
  <c r="V869" i="2"/>
  <c r="W869" i="2" s="1"/>
  <c r="X805" i="2"/>
  <c r="Y805" i="2" s="1"/>
  <c r="V805" i="2"/>
  <c r="W805" i="2" s="1"/>
  <c r="X803" i="2"/>
  <c r="Y803" i="2" s="1"/>
  <c r="V803" i="2"/>
  <c r="W803" i="2" s="1"/>
  <c r="X802" i="2"/>
  <c r="Y802" i="2" s="1"/>
  <c r="V802" i="2"/>
  <c r="W802" i="2" s="1"/>
  <c r="X801" i="2"/>
  <c r="Y801" i="2" s="1"/>
  <c r="V801" i="2"/>
  <c r="W801" i="2" s="1"/>
  <c r="X800" i="2"/>
  <c r="Y800" i="2" s="1"/>
  <c r="V800" i="2"/>
  <c r="W800" i="2" s="1"/>
  <c r="X799" i="2"/>
  <c r="Y799" i="2" s="1"/>
  <c r="V799" i="2"/>
  <c r="W799" i="2" s="1"/>
  <c r="X798" i="2"/>
  <c r="Y798" i="2" s="1"/>
  <c r="V798" i="2"/>
  <c r="W798" i="2" s="1"/>
  <c r="X797" i="2"/>
  <c r="Y797" i="2" s="1"/>
  <c r="V797" i="2"/>
  <c r="W797" i="2" s="1"/>
  <c r="X796" i="2"/>
  <c r="Y796" i="2" s="1"/>
  <c r="V796" i="2"/>
  <c r="W796" i="2" s="1"/>
  <c r="X793" i="2"/>
  <c r="Y793" i="2" s="1"/>
  <c r="V793" i="2"/>
  <c r="W793" i="2" s="1"/>
  <c r="X791" i="2"/>
  <c r="Y791" i="2" s="1"/>
  <c r="V791" i="2"/>
  <c r="W791" i="2" s="1"/>
  <c r="X790" i="2"/>
  <c r="Y790" i="2" s="1"/>
  <c r="V790" i="2"/>
  <c r="W790" i="2" s="1"/>
  <c r="X789" i="2"/>
  <c r="Y789" i="2" s="1"/>
  <c r="V789" i="2"/>
  <c r="W789" i="2" s="1"/>
  <c r="X788" i="2"/>
  <c r="Y788" i="2" s="1"/>
  <c r="V788" i="2"/>
  <c r="W788" i="2" s="1"/>
  <c r="X787" i="2"/>
  <c r="Y787" i="2" s="1"/>
  <c r="V787" i="2"/>
  <c r="W787" i="2" s="1"/>
  <c r="X786" i="2"/>
  <c r="Y786" i="2" s="1"/>
  <c r="V786" i="2"/>
  <c r="W786" i="2" s="1"/>
  <c r="X785" i="2"/>
  <c r="Y785" i="2" s="1"/>
  <c r="V785" i="2"/>
  <c r="W785" i="2" s="1"/>
  <c r="X784" i="2"/>
  <c r="Y784" i="2" s="1"/>
  <c r="V784" i="2"/>
  <c r="W784" i="2" s="1"/>
  <c r="X783" i="2"/>
  <c r="Y783" i="2" s="1"/>
  <c r="V783" i="2"/>
  <c r="W783" i="2" s="1"/>
  <c r="X782" i="2"/>
  <c r="Y782" i="2" s="1"/>
  <c r="V782" i="2"/>
  <c r="W782" i="2" s="1"/>
  <c r="X781" i="2"/>
  <c r="Y781" i="2" s="1"/>
  <c r="V781" i="2"/>
  <c r="W781" i="2" s="1"/>
  <c r="X780" i="2"/>
  <c r="Y780" i="2" s="1"/>
  <c r="V780" i="2"/>
  <c r="W780" i="2" s="1"/>
  <c r="X779" i="2"/>
  <c r="Y779" i="2" s="1"/>
  <c r="V779" i="2"/>
  <c r="W779" i="2" s="1"/>
  <c r="X778" i="2"/>
  <c r="Y778" i="2" s="1"/>
  <c r="V778" i="2"/>
  <c r="W778" i="2" s="1"/>
  <c r="X777" i="2"/>
  <c r="Y777" i="2" s="1"/>
  <c r="V777" i="2"/>
  <c r="W777" i="2" s="1"/>
  <c r="X776" i="2"/>
  <c r="Y776" i="2" s="1"/>
  <c r="V776" i="2"/>
  <c r="W776" i="2" s="1"/>
  <c r="X775" i="2"/>
  <c r="Y775" i="2" s="1"/>
  <c r="V775" i="2"/>
  <c r="W775" i="2" s="1"/>
  <c r="X774" i="2"/>
  <c r="Y774" i="2" s="1"/>
  <c r="V774" i="2"/>
  <c r="W774" i="2" s="1"/>
  <c r="X773" i="2"/>
  <c r="Y773" i="2" s="1"/>
  <c r="V773" i="2"/>
  <c r="W773" i="2" s="1"/>
  <c r="X772" i="2"/>
  <c r="Y772" i="2" s="1"/>
  <c r="V772" i="2"/>
  <c r="W772" i="2" s="1"/>
  <c r="X771" i="2"/>
  <c r="V771" i="2"/>
  <c r="X763" i="2"/>
  <c r="Y763" i="2" s="1"/>
  <c r="V763" i="2"/>
  <c r="W763" i="2" s="1"/>
  <c r="X761" i="2"/>
  <c r="Y761" i="2" s="1"/>
  <c r="V761" i="2"/>
  <c r="W761" i="2" s="1"/>
  <c r="X759" i="2"/>
  <c r="Y759" i="2" s="1"/>
  <c r="V759" i="2"/>
  <c r="W759" i="2" s="1"/>
  <c r="X757" i="2"/>
  <c r="Y757" i="2" s="1"/>
  <c r="V757" i="2"/>
  <c r="W757" i="2" s="1"/>
  <c r="X756" i="2"/>
  <c r="Y756" i="2" s="1"/>
  <c r="V756" i="2"/>
  <c r="W756" i="2" s="1"/>
  <c r="X754" i="2"/>
  <c r="Y754" i="2" s="1"/>
  <c r="V754" i="2"/>
  <c r="W754" i="2" s="1"/>
  <c r="X753" i="2"/>
  <c r="Y753" i="2" s="1"/>
  <c r="V753" i="2"/>
  <c r="W753" i="2" s="1"/>
  <c r="X751" i="2"/>
  <c r="Y751" i="2" s="1"/>
  <c r="V751" i="2"/>
  <c r="W751" i="2" s="1"/>
  <c r="X750" i="2"/>
  <c r="Y750" i="2" s="1"/>
  <c r="V750" i="2"/>
  <c r="W750" i="2" s="1"/>
  <c r="X748" i="2"/>
  <c r="Y748" i="2" s="1"/>
  <c r="V748" i="2"/>
  <c r="W748" i="2" s="1"/>
  <c r="X747" i="2"/>
  <c r="V747" i="2"/>
  <c r="X685" i="2"/>
  <c r="Y685" i="2" s="1"/>
  <c r="V685" i="2"/>
  <c r="W685" i="2" s="1"/>
  <c r="X683" i="2"/>
  <c r="Y683" i="2" s="1"/>
  <c r="V683" i="2"/>
  <c r="W683" i="2" s="1"/>
  <c r="X682" i="2"/>
  <c r="Y682" i="2" s="1"/>
  <c r="V682" i="2"/>
  <c r="W682" i="2" s="1"/>
  <c r="X681" i="2"/>
  <c r="Y681" i="2" s="1"/>
  <c r="V681" i="2"/>
  <c r="W681" i="2" s="1"/>
  <c r="X680" i="2"/>
  <c r="Y680" i="2" s="1"/>
  <c r="V680" i="2"/>
  <c r="W680" i="2" s="1"/>
  <c r="X679" i="2"/>
  <c r="Y679" i="2" s="1"/>
  <c r="V679" i="2"/>
  <c r="W679" i="2" s="1"/>
  <c r="X678" i="2"/>
  <c r="Y678" i="2" s="1"/>
  <c r="V678" i="2"/>
  <c r="W678" i="2" s="1"/>
  <c r="X677" i="2"/>
  <c r="Y677" i="2" s="1"/>
  <c r="V677" i="2"/>
  <c r="W677" i="2" s="1"/>
  <c r="X676" i="2"/>
  <c r="Y676" i="2" s="1"/>
  <c r="V676" i="2"/>
  <c r="W676" i="2" s="1"/>
  <c r="X673" i="2"/>
  <c r="Y673" i="2" s="1"/>
  <c r="V673" i="2"/>
  <c r="W673" i="2" s="1"/>
  <c r="X671" i="2"/>
  <c r="Y671" i="2" s="1"/>
  <c r="V671" i="2"/>
  <c r="W671" i="2" s="1"/>
  <c r="X670" i="2"/>
  <c r="Y670" i="2" s="1"/>
  <c r="V670" i="2"/>
  <c r="W670" i="2" s="1"/>
  <c r="X669" i="2"/>
  <c r="Y669" i="2" s="1"/>
  <c r="V669" i="2"/>
  <c r="W669" i="2" s="1"/>
  <c r="X668" i="2"/>
  <c r="Y668" i="2" s="1"/>
  <c r="V668" i="2"/>
  <c r="W668" i="2" s="1"/>
  <c r="X667" i="2"/>
  <c r="Y667" i="2" s="1"/>
  <c r="V667" i="2"/>
  <c r="W667" i="2" s="1"/>
  <c r="X666" i="2"/>
  <c r="Y666" i="2" s="1"/>
  <c r="V666" i="2"/>
  <c r="W666" i="2" s="1"/>
  <c r="X665" i="2"/>
  <c r="Y665" i="2" s="1"/>
  <c r="V665" i="2"/>
  <c r="W665" i="2" s="1"/>
  <c r="X664" i="2"/>
  <c r="Y664" i="2" s="1"/>
  <c r="V664" i="2"/>
  <c r="W664" i="2" s="1"/>
  <c r="X663" i="2"/>
  <c r="Y663" i="2" s="1"/>
  <c r="V663" i="2"/>
  <c r="W663" i="2" s="1"/>
  <c r="X662" i="2"/>
  <c r="Y662" i="2" s="1"/>
  <c r="V662" i="2"/>
  <c r="W662" i="2" s="1"/>
  <c r="X661" i="2"/>
  <c r="Y661" i="2" s="1"/>
  <c r="V661" i="2"/>
  <c r="W661" i="2" s="1"/>
  <c r="X660" i="2"/>
  <c r="Y660" i="2" s="1"/>
  <c r="V660" i="2"/>
  <c r="W660" i="2" s="1"/>
  <c r="X659" i="2"/>
  <c r="Y659" i="2" s="1"/>
  <c r="V659" i="2"/>
  <c r="W659" i="2" s="1"/>
  <c r="X658" i="2"/>
  <c r="Y658" i="2" s="1"/>
  <c r="V658" i="2"/>
  <c r="W658" i="2" s="1"/>
  <c r="X657" i="2"/>
  <c r="Y657" i="2" s="1"/>
  <c r="V657" i="2"/>
  <c r="W657" i="2" s="1"/>
  <c r="X656" i="2"/>
  <c r="Y656" i="2" s="1"/>
  <c r="V656" i="2"/>
  <c r="W656" i="2" s="1"/>
  <c r="X655" i="2"/>
  <c r="Y655" i="2" s="1"/>
  <c r="V655" i="2"/>
  <c r="W655" i="2" s="1"/>
  <c r="X654" i="2"/>
  <c r="Y654" i="2" s="1"/>
  <c r="V654" i="2"/>
  <c r="W654" i="2" s="1"/>
  <c r="X653" i="2"/>
  <c r="Y653" i="2" s="1"/>
  <c r="V653" i="2"/>
  <c r="W653" i="2" s="1"/>
  <c r="X652" i="2"/>
  <c r="Y652" i="2" s="1"/>
  <c r="V652" i="2"/>
  <c r="W652" i="2" s="1"/>
  <c r="X651" i="2"/>
  <c r="V651" i="2"/>
  <c r="X643" i="2"/>
  <c r="Y643" i="2" s="1"/>
  <c r="V643" i="2"/>
  <c r="W643" i="2" s="1"/>
  <c r="X641" i="2"/>
  <c r="Y641" i="2" s="1"/>
  <c r="V641" i="2"/>
  <c r="W641" i="2" s="1"/>
  <c r="X639" i="2"/>
  <c r="Y639" i="2" s="1"/>
  <c r="V639" i="2"/>
  <c r="W639" i="2" s="1"/>
  <c r="X637" i="2"/>
  <c r="Y637" i="2" s="1"/>
  <c r="V637" i="2"/>
  <c r="W637" i="2" s="1"/>
  <c r="X636" i="2"/>
  <c r="Y636" i="2" s="1"/>
  <c r="V636" i="2"/>
  <c r="W636" i="2" s="1"/>
  <c r="X634" i="2"/>
  <c r="Y634" i="2" s="1"/>
  <c r="V634" i="2"/>
  <c r="W634" i="2" s="1"/>
  <c r="X633" i="2"/>
  <c r="Y633" i="2" s="1"/>
  <c r="V633" i="2"/>
  <c r="W633" i="2" s="1"/>
  <c r="X631" i="2"/>
  <c r="Y631" i="2" s="1"/>
  <c r="V631" i="2"/>
  <c r="W631" i="2" s="1"/>
  <c r="X630" i="2"/>
  <c r="Y630" i="2" s="1"/>
  <c r="V630" i="2"/>
  <c r="W630" i="2" s="1"/>
  <c r="X628" i="2"/>
  <c r="Y628" i="2" s="1"/>
  <c r="V628" i="2"/>
  <c r="W628" i="2" s="1"/>
  <c r="X564" i="2"/>
  <c r="Y564" i="2" s="1"/>
  <c r="V564" i="2"/>
  <c r="W564" i="2" s="1"/>
  <c r="X562" i="2"/>
  <c r="Y562" i="2" s="1"/>
  <c r="V562" i="2"/>
  <c r="W562" i="2" s="1"/>
  <c r="X561" i="2"/>
  <c r="Y561" i="2" s="1"/>
  <c r="V561" i="2"/>
  <c r="W561" i="2" s="1"/>
  <c r="X560" i="2"/>
  <c r="Y560" i="2" s="1"/>
  <c r="V560" i="2"/>
  <c r="W560" i="2" s="1"/>
  <c r="X559" i="2"/>
  <c r="Y559" i="2" s="1"/>
  <c r="V559" i="2"/>
  <c r="W559" i="2" s="1"/>
  <c r="X558" i="2"/>
  <c r="Y558" i="2" s="1"/>
  <c r="V558" i="2"/>
  <c r="W558" i="2" s="1"/>
  <c r="X557" i="2"/>
  <c r="Y557" i="2" s="1"/>
  <c r="V557" i="2"/>
  <c r="W557" i="2" s="1"/>
  <c r="X556" i="2"/>
  <c r="Y556" i="2" s="1"/>
  <c r="V556" i="2"/>
  <c r="W556" i="2" s="1"/>
  <c r="X555" i="2"/>
  <c r="Y555" i="2" s="1"/>
  <c r="V555" i="2"/>
  <c r="W555" i="2" s="1"/>
  <c r="X552" i="2"/>
  <c r="Y552" i="2" s="1"/>
  <c r="V552" i="2"/>
  <c r="W552" i="2" s="1"/>
  <c r="X550" i="2"/>
  <c r="Y550" i="2" s="1"/>
  <c r="V550" i="2"/>
  <c r="W550" i="2" s="1"/>
  <c r="X549" i="2"/>
  <c r="Y549" i="2" s="1"/>
  <c r="V549" i="2"/>
  <c r="W549" i="2" s="1"/>
  <c r="X548" i="2"/>
  <c r="Y548" i="2" s="1"/>
  <c r="V548" i="2"/>
  <c r="W548" i="2" s="1"/>
  <c r="X547" i="2"/>
  <c r="Y547" i="2" s="1"/>
  <c r="V547" i="2"/>
  <c r="W547" i="2" s="1"/>
  <c r="X546" i="2"/>
  <c r="Y546" i="2" s="1"/>
  <c r="V546" i="2"/>
  <c r="W546" i="2" s="1"/>
  <c r="X545" i="2"/>
  <c r="Y545" i="2" s="1"/>
  <c r="V545" i="2"/>
  <c r="W545" i="2" s="1"/>
  <c r="X544" i="2"/>
  <c r="Y544" i="2" s="1"/>
  <c r="V544" i="2"/>
  <c r="W544" i="2" s="1"/>
  <c r="X543" i="2"/>
  <c r="Y543" i="2" s="1"/>
  <c r="V543" i="2"/>
  <c r="W543" i="2" s="1"/>
  <c r="X542" i="2"/>
  <c r="Y542" i="2" s="1"/>
  <c r="V542" i="2"/>
  <c r="W542" i="2" s="1"/>
  <c r="X541" i="2"/>
  <c r="Y541" i="2" s="1"/>
  <c r="V541" i="2"/>
  <c r="W541" i="2" s="1"/>
  <c r="X540" i="2"/>
  <c r="Y540" i="2" s="1"/>
  <c r="V540" i="2"/>
  <c r="W540" i="2" s="1"/>
  <c r="X539" i="2"/>
  <c r="Y539" i="2" s="1"/>
  <c r="V539" i="2"/>
  <c r="W539" i="2" s="1"/>
  <c r="X538" i="2"/>
  <c r="Y538" i="2" s="1"/>
  <c r="V538" i="2"/>
  <c r="W538" i="2" s="1"/>
  <c r="X537" i="2"/>
  <c r="Y537" i="2" s="1"/>
  <c r="V537" i="2"/>
  <c r="W537" i="2" s="1"/>
  <c r="X536" i="2"/>
  <c r="Y536" i="2" s="1"/>
  <c r="V536" i="2"/>
  <c r="W536" i="2" s="1"/>
  <c r="X535" i="2"/>
  <c r="Y535" i="2" s="1"/>
  <c r="V535" i="2"/>
  <c r="W535" i="2" s="1"/>
  <c r="X534" i="2"/>
  <c r="Y534" i="2" s="1"/>
  <c r="V534" i="2"/>
  <c r="W534" i="2" s="1"/>
  <c r="X533" i="2"/>
  <c r="Y533" i="2" s="1"/>
  <c r="V533" i="2"/>
  <c r="W533" i="2" s="1"/>
  <c r="X532" i="2"/>
  <c r="Y532" i="2" s="1"/>
  <c r="V532" i="2"/>
  <c r="W532" i="2" s="1"/>
  <c r="X531" i="2"/>
  <c r="Y531" i="2" s="1"/>
  <c r="V531" i="2"/>
  <c r="W531" i="2" s="1"/>
  <c r="X530" i="2"/>
  <c r="V530" i="2"/>
  <c r="X522" i="2"/>
  <c r="Y522" i="2" s="1"/>
  <c r="V522" i="2"/>
  <c r="W522" i="2" s="1"/>
  <c r="X520" i="2"/>
  <c r="Y520" i="2" s="1"/>
  <c r="V520" i="2"/>
  <c r="W520" i="2" s="1"/>
  <c r="X518" i="2"/>
  <c r="Y518" i="2" s="1"/>
  <c r="V518" i="2"/>
  <c r="W518" i="2" s="1"/>
  <c r="X516" i="2"/>
  <c r="Y516" i="2" s="1"/>
  <c r="V516" i="2"/>
  <c r="W516" i="2" s="1"/>
  <c r="X515" i="2"/>
  <c r="Y515" i="2" s="1"/>
  <c r="V515" i="2"/>
  <c r="W515" i="2" s="1"/>
  <c r="X513" i="2"/>
  <c r="Y513" i="2" s="1"/>
  <c r="V513" i="2"/>
  <c r="W513" i="2" s="1"/>
  <c r="X512" i="2"/>
  <c r="Y512" i="2" s="1"/>
  <c r="V512" i="2"/>
  <c r="W512" i="2" s="1"/>
  <c r="X510" i="2"/>
  <c r="Y510" i="2" s="1"/>
  <c r="V510" i="2"/>
  <c r="W510" i="2" s="1"/>
  <c r="X509" i="2"/>
  <c r="Y509" i="2" s="1"/>
  <c r="V509" i="2"/>
  <c r="W509" i="2" s="1"/>
  <c r="X507" i="2"/>
  <c r="Y507" i="2" s="1"/>
  <c r="V507" i="2"/>
  <c r="W507" i="2" s="1"/>
  <c r="X506" i="2"/>
  <c r="V506" i="2"/>
  <c r="X444" i="2"/>
  <c r="Y444" i="2" s="1"/>
  <c r="V444" i="2"/>
  <c r="W444" i="2" s="1"/>
  <c r="X442" i="2"/>
  <c r="Y442" i="2" s="1"/>
  <c r="V442" i="2"/>
  <c r="W442" i="2" s="1"/>
  <c r="X441" i="2"/>
  <c r="Y441" i="2" s="1"/>
  <c r="V441" i="2"/>
  <c r="W441" i="2" s="1"/>
  <c r="X440" i="2"/>
  <c r="Y440" i="2" s="1"/>
  <c r="V440" i="2"/>
  <c r="W440" i="2" s="1"/>
  <c r="X439" i="2"/>
  <c r="Y439" i="2" s="1"/>
  <c r="V439" i="2"/>
  <c r="W439" i="2" s="1"/>
  <c r="X438" i="2"/>
  <c r="Y438" i="2" s="1"/>
  <c r="V438" i="2"/>
  <c r="W438" i="2" s="1"/>
  <c r="X437" i="2"/>
  <c r="Y437" i="2" s="1"/>
  <c r="V437" i="2"/>
  <c r="W437" i="2" s="1"/>
  <c r="X436" i="2"/>
  <c r="Y436" i="2" s="1"/>
  <c r="V436" i="2"/>
  <c r="W436" i="2" s="1"/>
  <c r="X435" i="2"/>
  <c r="Y435" i="2" s="1"/>
  <c r="V435" i="2"/>
  <c r="W435" i="2" s="1"/>
  <c r="X432" i="2"/>
  <c r="Y432" i="2" s="1"/>
  <c r="V432" i="2"/>
  <c r="W432" i="2" s="1"/>
  <c r="X430" i="2"/>
  <c r="Y430" i="2" s="1"/>
  <c r="V430" i="2"/>
  <c r="W430" i="2" s="1"/>
  <c r="X429" i="2"/>
  <c r="Y429" i="2" s="1"/>
  <c r="V429" i="2"/>
  <c r="W429" i="2" s="1"/>
  <c r="X428" i="2"/>
  <c r="Y428" i="2" s="1"/>
  <c r="V428" i="2"/>
  <c r="W428" i="2" s="1"/>
  <c r="X427" i="2"/>
  <c r="Y427" i="2" s="1"/>
  <c r="V427" i="2"/>
  <c r="W427" i="2" s="1"/>
  <c r="X426" i="2"/>
  <c r="Y426" i="2" s="1"/>
  <c r="V426" i="2"/>
  <c r="W426" i="2" s="1"/>
  <c r="X425" i="2"/>
  <c r="Y425" i="2" s="1"/>
  <c r="V425" i="2"/>
  <c r="W425" i="2" s="1"/>
  <c r="X424" i="2"/>
  <c r="Y424" i="2" s="1"/>
  <c r="V424" i="2"/>
  <c r="W424" i="2" s="1"/>
  <c r="X423" i="2"/>
  <c r="Y423" i="2" s="1"/>
  <c r="V423" i="2"/>
  <c r="W423" i="2" s="1"/>
  <c r="X422" i="2"/>
  <c r="Y422" i="2" s="1"/>
  <c r="V422" i="2"/>
  <c r="W422" i="2" s="1"/>
  <c r="X421" i="2"/>
  <c r="Y421" i="2" s="1"/>
  <c r="V421" i="2"/>
  <c r="W421" i="2" s="1"/>
  <c r="X420" i="2"/>
  <c r="Y420" i="2" s="1"/>
  <c r="V420" i="2"/>
  <c r="W420" i="2" s="1"/>
  <c r="X419" i="2"/>
  <c r="Y419" i="2" s="1"/>
  <c r="V419" i="2"/>
  <c r="W419" i="2" s="1"/>
  <c r="X418" i="2"/>
  <c r="Y418" i="2" s="1"/>
  <c r="V418" i="2"/>
  <c r="W418" i="2" s="1"/>
  <c r="X417" i="2"/>
  <c r="Y417" i="2" s="1"/>
  <c r="V417" i="2"/>
  <c r="W417" i="2" s="1"/>
  <c r="X416" i="2"/>
  <c r="Y416" i="2" s="1"/>
  <c r="V416" i="2"/>
  <c r="W416" i="2" s="1"/>
  <c r="X415" i="2"/>
  <c r="Y415" i="2" s="1"/>
  <c r="V415" i="2"/>
  <c r="W415" i="2" s="1"/>
  <c r="X414" i="2"/>
  <c r="Y414" i="2" s="1"/>
  <c r="V414" i="2"/>
  <c r="W414" i="2" s="1"/>
  <c r="X413" i="2"/>
  <c r="Y413" i="2" s="1"/>
  <c r="V413" i="2"/>
  <c r="W413" i="2" s="1"/>
  <c r="X412" i="2"/>
  <c r="Y412" i="2" s="1"/>
  <c r="V412" i="2"/>
  <c r="W412" i="2" s="1"/>
  <c r="X411" i="2"/>
  <c r="Y411" i="2" s="1"/>
  <c r="V411" i="2"/>
  <c r="W411" i="2" s="1"/>
  <c r="X410" i="2"/>
  <c r="V410" i="2"/>
  <c r="Y1358" i="2"/>
  <c r="X1233" i="2"/>
  <c r="Y1233" i="2" s="1"/>
  <c r="V1233" i="2"/>
  <c r="W1233" i="2" s="1"/>
  <c r="Y1112" i="2"/>
  <c r="W1112" i="2"/>
  <c r="Y990" i="2"/>
  <c r="W990" i="2"/>
  <c r="X868" i="2"/>
  <c r="Y868" i="2" s="1"/>
  <c r="V868" i="2"/>
  <c r="W868" i="2" s="1"/>
  <c r="Y747" i="2"/>
  <c r="W747" i="2"/>
  <c r="X627" i="2"/>
  <c r="Y627" i="2" s="1"/>
  <c r="V627" i="2"/>
  <c r="W627" i="2" s="1"/>
  <c r="Y506" i="2"/>
  <c r="W506" i="2"/>
  <c r="Y1382" i="2"/>
  <c r="W1382" i="2"/>
  <c r="Y1257" i="2"/>
  <c r="W1257" i="2"/>
  <c r="X1136" i="2"/>
  <c r="Y1136" i="2" s="1"/>
  <c r="W1136" i="2"/>
  <c r="X1014" i="2"/>
  <c r="Y1014" i="2" s="1"/>
  <c r="W1014" i="2"/>
  <c r="Y892" i="2"/>
  <c r="W892" i="2"/>
  <c r="Y771" i="2"/>
  <c r="W771" i="2"/>
  <c r="Y651" i="2"/>
  <c r="W651" i="2"/>
  <c r="Y530" i="2"/>
  <c r="W530" i="2"/>
  <c r="Y410" i="2"/>
  <c r="W410" i="2"/>
  <c r="X402" i="2"/>
  <c r="Y402" i="2" s="1"/>
  <c r="V402" i="2"/>
  <c r="W402" i="2" s="1"/>
  <c r="X400" i="2"/>
  <c r="Y400" i="2" s="1"/>
  <c r="V400" i="2"/>
  <c r="W400" i="2" s="1"/>
  <c r="X398" i="2"/>
  <c r="Y398" i="2" s="1"/>
  <c r="V398" i="2"/>
  <c r="W398" i="2" s="1"/>
  <c r="X396" i="2"/>
  <c r="Y396" i="2" s="1"/>
  <c r="V396" i="2"/>
  <c r="W396" i="2" s="1"/>
  <c r="X395" i="2"/>
  <c r="Y395" i="2" s="1"/>
  <c r="V395" i="2"/>
  <c r="W395" i="2" s="1"/>
  <c r="X393" i="2"/>
  <c r="Y393" i="2" s="1"/>
  <c r="V393" i="2"/>
  <c r="W393" i="2" s="1"/>
  <c r="X392" i="2"/>
  <c r="Y392" i="2" s="1"/>
  <c r="V392" i="2"/>
  <c r="W392" i="2" s="1"/>
  <c r="X390" i="2"/>
  <c r="Y390" i="2" s="1"/>
  <c r="V390" i="2"/>
  <c r="W390" i="2" s="1"/>
  <c r="X389" i="2"/>
  <c r="Y389" i="2" s="1"/>
  <c r="V389" i="2"/>
  <c r="W389" i="2" s="1"/>
  <c r="X387" i="2"/>
  <c r="Y387" i="2" s="1"/>
  <c r="V387" i="2"/>
  <c r="W387" i="2" s="1"/>
  <c r="X386" i="2"/>
  <c r="V386" i="2"/>
  <c r="Y386" i="2"/>
  <c r="W386" i="2"/>
  <c r="X322" i="2"/>
  <c r="Y322" i="2" s="1"/>
  <c r="V322" i="2"/>
  <c r="W322" i="2" s="1"/>
  <c r="X321" i="2"/>
  <c r="Y321" i="2" s="1"/>
  <c r="V321" i="2"/>
  <c r="W321" i="2" s="1"/>
  <c r="X320" i="2"/>
  <c r="Y320" i="2" s="1"/>
  <c r="V320" i="2"/>
  <c r="W320" i="2" s="1"/>
  <c r="X319" i="2"/>
  <c r="Y319" i="2" s="1"/>
  <c r="V319" i="2"/>
  <c r="W319" i="2" s="1"/>
  <c r="X318" i="2"/>
  <c r="Y318" i="2" s="1"/>
  <c r="V318" i="2"/>
  <c r="W318" i="2" s="1"/>
  <c r="X317" i="2"/>
  <c r="Y317" i="2" s="1"/>
  <c r="V317" i="2"/>
  <c r="W317" i="2" s="1"/>
  <c r="X316" i="2"/>
  <c r="Y316" i="2" s="1"/>
  <c r="V316" i="2"/>
  <c r="W316" i="2" s="1"/>
  <c r="X315" i="2"/>
  <c r="Y315" i="2" s="1"/>
  <c r="V315" i="2"/>
  <c r="W315" i="2" s="1"/>
  <c r="X310" i="2"/>
  <c r="Y310" i="2" s="1"/>
  <c r="V310" i="2"/>
  <c r="W310" i="2" s="1"/>
  <c r="X309" i="2"/>
  <c r="Y309" i="2" s="1"/>
  <c r="V309" i="2"/>
  <c r="W309" i="2" s="1"/>
  <c r="X308" i="2"/>
  <c r="Y308" i="2" s="1"/>
  <c r="V308" i="2"/>
  <c r="W308" i="2" s="1"/>
  <c r="X307" i="2"/>
  <c r="Y307" i="2" s="1"/>
  <c r="V307" i="2"/>
  <c r="W307" i="2" s="1"/>
  <c r="X306" i="2"/>
  <c r="Y306" i="2" s="1"/>
  <c r="V306" i="2"/>
  <c r="W306" i="2" s="1"/>
  <c r="X305" i="2"/>
  <c r="Y305" i="2" s="1"/>
  <c r="V305" i="2"/>
  <c r="W305" i="2" s="1"/>
  <c r="X304" i="2"/>
  <c r="Y304" i="2" s="1"/>
  <c r="V304" i="2"/>
  <c r="W304" i="2" s="1"/>
  <c r="X303" i="2"/>
  <c r="Y303" i="2" s="1"/>
  <c r="V303" i="2"/>
  <c r="W303" i="2" s="1"/>
  <c r="X302" i="2"/>
  <c r="Y302" i="2" s="1"/>
  <c r="V302" i="2"/>
  <c r="W302" i="2" s="1"/>
  <c r="X301" i="2"/>
  <c r="Y301" i="2" s="1"/>
  <c r="V301" i="2"/>
  <c r="W301" i="2" s="1"/>
  <c r="X300" i="2"/>
  <c r="Y300" i="2" s="1"/>
  <c r="V300" i="2"/>
  <c r="W300" i="2" s="1"/>
  <c r="X299" i="2"/>
  <c r="Y299" i="2" s="1"/>
  <c r="V299" i="2"/>
  <c r="W299" i="2" s="1"/>
  <c r="X298" i="2"/>
  <c r="Y298" i="2" s="1"/>
  <c r="V298" i="2"/>
  <c r="W298" i="2" s="1"/>
  <c r="X297" i="2"/>
  <c r="Y297" i="2" s="1"/>
  <c r="V297" i="2"/>
  <c r="W297" i="2" s="1"/>
  <c r="X296" i="2"/>
  <c r="Y296" i="2" s="1"/>
  <c r="V296" i="2"/>
  <c r="W296" i="2" s="1"/>
  <c r="X295" i="2"/>
  <c r="Y295" i="2" s="1"/>
  <c r="V295" i="2"/>
  <c r="W295" i="2" s="1"/>
  <c r="X294" i="2"/>
  <c r="Y294" i="2" s="1"/>
  <c r="V294" i="2"/>
  <c r="W294" i="2" s="1"/>
  <c r="X293" i="2"/>
  <c r="Y293" i="2" s="1"/>
  <c r="V293" i="2"/>
  <c r="W293" i="2" s="1"/>
  <c r="X292" i="2"/>
  <c r="Y292" i="2" s="1"/>
  <c r="V292" i="2"/>
  <c r="W292" i="2" s="1"/>
  <c r="X291" i="2"/>
  <c r="Y291" i="2" s="1"/>
  <c r="V291" i="2"/>
  <c r="W291" i="2" s="1"/>
  <c r="X290" i="2"/>
  <c r="V290" i="2"/>
  <c r="Y290" i="2"/>
  <c r="Z290" i="2"/>
  <c r="AA290" i="2" s="1"/>
  <c r="W290" i="2"/>
  <c r="X282" i="2"/>
  <c r="Y282" i="2" s="1"/>
  <c r="V282" i="2"/>
  <c r="W282" i="2" s="1"/>
  <c r="X280" i="2"/>
  <c r="Y280" i="2" s="1"/>
  <c r="V280" i="2"/>
  <c r="W280" i="2" s="1"/>
  <c r="X278" i="2"/>
  <c r="Y278" i="2" s="1"/>
  <c r="V278" i="2"/>
  <c r="W278" i="2" s="1"/>
  <c r="X276" i="2"/>
  <c r="Y276" i="2" s="1"/>
  <c r="V276" i="2"/>
  <c r="W276" i="2" s="1"/>
  <c r="X275" i="2"/>
  <c r="Y275" i="2" s="1"/>
  <c r="V275" i="2"/>
  <c r="W275" i="2" s="1"/>
  <c r="X273" i="2"/>
  <c r="Y273" i="2" s="1"/>
  <c r="V273" i="2"/>
  <c r="W273" i="2" s="1"/>
  <c r="X272" i="2"/>
  <c r="Y272" i="2" s="1"/>
  <c r="V272" i="2"/>
  <c r="W272" i="2" s="1"/>
  <c r="X270" i="2"/>
  <c r="Y270" i="2" s="1"/>
  <c r="V270" i="2"/>
  <c r="W270" i="2" s="1"/>
  <c r="X269" i="2"/>
  <c r="Y269" i="2" s="1"/>
  <c r="V269" i="2"/>
  <c r="W269" i="2" s="1"/>
  <c r="X267" i="2"/>
  <c r="Y267" i="2" s="1"/>
  <c r="V267" i="2"/>
  <c r="W267" i="2" s="1"/>
  <c r="X266" i="2"/>
  <c r="V266" i="2"/>
  <c r="Y266" i="2"/>
  <c r="W266" i="2"/>
  <c r="X200" i="2"/>
  <c r="Y200" i="2" s="1"/>
  <c r="V200" i="2"/>
  <c r="W200" i="2" s="1"/>
  <c r="X199" i="2"/>
  <c r="Y199" i="2" s="1"/>
  <c r="V199" i="2"/>
  <c r="W199" i="2" s="1"/>
  <c r="X198" i="2"/>
  <c r="Y198" i="2" s="1"/>
  <c r="V198" i="2"/>
  <c r="W198" i="2" s="1"/>
  <c r="X197" i="2"/>
  <c r="Y197" i="2" s="1"/>
  <c r="V197" i="2"/>
  <c r="W197" i="2" s="1"/>
  <c r="X196" i="2"/>
  <c r="Y196" i="2" s="1"/>
  <c r="V196" i="2"/>
  <c r="W196" i="2" s="1"/>
  <c r="X195" i="2"/>
  <c r="Y195" i="2" s="1"/>
  <c r="V195" i="2"/>
  <c r="W195" i="2" s="1"/>
  <c r="X194" i="2"/>
  <c r="Y194" i="2" s="1"/>
  <c r="V194" i="2"/>
  <c r="W194" i="2" s="1"/>
  <c r="X193" i="2"/>
  <c r="Y193" i="2" s="1"/>
  <c r="V193" i="2"/>
  <c r="W193" i="2" s="1"/>
  <c r="X188" i="2"/>
  <c r="Y188" i="2" s="1"/>
  <c r="V188" i="2"/>
  <c r="W188" i="2" s="1"/>
  <c r="X187" i="2"/>
  <c r="Y187" i="2" s="1"/>
  <c r="V187" i="2"/>
  <c r="W187" i="2" s="1"/>
  <c r="X186" i="2"/>
  <c r="Y186" i="2" s="1"/>
  <c r="V186" i="2"/>
  <c r="W186" i="2" s="1"/>
  <c r="X185" i="2"/>
  <c r="Y185" i="2" s="1"/>
  <c r="V185" i="2"/>
  <c r="W185" i="2" s="1"/>
  <c r="X184" i="2"/>
  <c r="Y184" i="2" s="1"/>
  <c r="V184" i="2"/>
  <c r="W184" i="2" s="1"/>
  <c r="X183" i="2"/>
  <c r="Y183" i="2" s="1"/>
  <c r="V183" i="2"/>
  <c r="W183" i="2" s="1"/>
  <c r="X182" i="2"/>
  <c r="Y182" i="2" s="1"/>
  <c r="V182" i="2"/>
  <c r="W182" i="2" s="1"/>
  <c r="X181" i="2"/>
  <c r="Y181" i="2" s="1"/>
  <c r="V181" i="2"/>
  <c r="W181" i="2" s="1"/>
  <c r="X180" i="2"/>
  <c r="Y180" i="2" s="1"/>
  <c r="V180" i="2"/>
  <c r="W180" i="2" s="1"/>
  <c r="X179" i="2"/>
  <c r="Y179" i="2" s="1"/>
  <c r="V179" i="2"/>
  <c r="W179" i="2" s="1"/>
  <c r="X178" i="2"/>
  <c r="Y178" i="2" s="1"/>
  <c r="V178" i="2"/>
  <c r="W178" i="2" s="1"/>
  <c r="X177" i="2"/>
  <c r="Y177" i="2" s="1"/>
  <c r="V177" i="2"/>
  <c r="W177" i="2" s="1"/>
  <c r="X176" i="2"/>
  <c r="Y176" i="2" s="1"/>
  <c r="V176" i="2"/>
  <c r="W176" i="2" s="1"/>
  <c r="X175" i="2"/>
  <c r="Y175" i="2" s="1"/>
  <c r="V175" i="2"/>
  <c r="W175" i="2" s="1"/>
  <c r="X174" i="2"/>
  <c r="Y174" i="2" s="1"/>
  <c r="V174" i="2"/>
  <c r="W174" i="2" s="1"/>
  <c r="X173" i="2"/>
  <c r="Y173" i="2" s="1"/>
  <c r="V173" i="2"/>
  <c r="W173" i="2" s="1"/>
  <c r="X172" i="2"/>
  <c r="Y172" i="2" s="1"/>
  <c r="V172" i="2"/>
  <c r="W172" i="2" s="1"/>
  <c r="X171" i="2"/>
  <c r="Y171" i="2" s="1"/>
  <c r="V171" i="2"/>
  <c r="W171" i="2" s="1"/>
  <c r="X170" i="2"/>
  <c r="Y170" i="2" s="1"/>
  <c r="V170" i="2"/>
  <c r="W170" i="2" s="1"/>
  <c r="X169" i="2"/>
  <c r="Y169" i="2" s="1"/>
  <c r="V169" i="2"/>
  <c r="W169" i="2" s="1"/>
  <c r="AA168" i="2"/>
  <c r="Z168" i="2"/>
  <c r="Y168" i="2"/>
  <c r="X168" i="2"/>
  <c r="W168" i="2"/>
  <c r="V168" i="2"/>
  <c r="X160" i="2"/>
  <c r="Y160" i="2" s="1"/>
  <c r="V160" i="2"/>
  <c r="W160" i="2" s="1"/>
  <c r="X158" i="2"/>
  <c r="Y158" i="2" s="1"/>
  <c r="V158" i="2"/>
  <c r="W158" i="2" s="1"/>
  <c r="X156" i="2"/>
  <c r="Y156" i="2" s="1"/>
  <c r="V156" i="2"/>
  <c r="W156" i="2" s="1"/>
  <c r="X154" i="2"/>
  <c r="Y154" i="2" s="1"/>
  <c r="V154" i="2"/>
  <c r="W154" i="2" s="1"/>
  <c r="X153" i="2"/>
  <c r="Y153" i="2" s="1"/>
  <c r="V153" i="2"/>
  <c r="W153" i="2" s="1"/>
  <c r="X151" i="2"/>
  <c r="Y151" i="2" s="1"/>
  <c r="V151" i="2"/>
  <c r="W151" i="2" s="1"/>
  <c r="X150" i="2"/>
  <c r="Y150" i="2" s="1"/>
  <c r="V150" i="2"/>
  <c r="W150" i="2" s="1"/>
  <c r="X148" i="2"/>
  <c r="Y148" i="2" s="1"/>
  <c r="V148" i="2"/>
  <c r="W148" i="2" s="1"/>
  <c r="X147" i="2"/>
  <c r="Y147" i="2" s="1"/>
  <c r="V147" i="2"/>
  <c r="W147" i="2" s="1"/>
  <c r="X145" i="2"/>
  <c r="Y145" i="2" s="1"/>
  <c r="V145" i="2"/>
  <c r="W145" i="2" s="1"/>
  <c r="AA144" i="2"/>
  <c r="Z144" i="2"/>
  <c r="Y144" i="2"/>
  <c r="X144" i="2"/>
  <c r="W144" i="2"/>
  <c r="V144" i="2"/>
  <c r="AC452" i="4" l="1"/>
  <c r="AD452" i="4"/>
  <c r="AE452" i="4" s="1"/>
  <c r="AC450" i="4"/>
  <c r="AD450" i="4"/>
  <c r="AE450" i="4" s="1"/>
  <c r="AC449" i="4"/>
  <c r="AD449" i="4"/>
  <c r="AE449" i="4" s="1"/>
  <c r="AC448" i="4"/>
  <c r="AD448" i="4"/>
  <c r="AE448" i="4" s="1"/>
  <c r="AC447" i="4"/>
  <c r="AD447" i="4"/>
  <c r="AE447" i="4" s="1"/>
  <c r="AC446" i="4"/>
  <c r="AD446" i="4"/>
  <c r="AE446" i="4" s="1"/>
  <c r="AC445" i="4"/>
  <c r="AD445" i="4"/>
  <c r="AE445" i="4" s="1"/>
  <c r="AC444" i="4"/>
  <c r="AD444" i="4"/>
  <c r="AE444" i="4" s="1"/>
  <c r="AC443" i="4"/>
  <c r="AD443" i="4"/>
  <c r="AE443" i="4" s="1"/>
  <c r="AC440" i="4"/>
  <c r="AD440" i="4"/>
  <c r="AE440" i="4" s="1"/>
  <c r="AC438" i="4"/>
  <c r="AD438" i="4"/>
  <c r="AE438" i="4" s="1"/>
  <c r="AC437" i="4"/>
  <c r="AD437" i="4"/>
  <c r="AE437" i="4" s="1"/>
  <c r="AC436" i="4"/>
  <c r="AD436" i="4"/>
  <c r="AE436" i="4" s="1"/>
  <c r="AC435" i="4"/>
  <c r="AD435" i="4"/>
  <c r="AE435" i="4" s="1"/>
  <c r="AC434" i="4"/>
  <c r="AD434" i="4"/>
  <c r="AE434" i="4" s="1"/>
  <c r="AC433" i="4"/>
  <c r="AD433" i="4"/>
  <c r="AE433" i="4" s="1"/>
  <c r="AC432" i="4"/>
  <c r="AD432" i="4"/>
  <c r="AE432" i="4" s="1"/>
  <c r="AC431" i="4"/>
  <c r="AD431" i="4"/>
  <c r="AE431" i="4" s="1"/>
  <c r="AC428" i="4"/>
  <c r="AD428" i="4"/>
  <c r="AE428" i="4" s="1"/>
  <c r="AC427" i="4"/>
  <c r="AD427" i="4"/>
  <c r="AE427" i="4" s="1"/>
  <c r="AC426" i="4"/>
  <c r="AE426" i="4"/>
  <c r="AC425" i="4"/>
  <c r="AD425" i="4"/>
  <c r="AE425" i="4" s="1"/>
  <c r="AC424" i="4"/>
  <c r="AE424" i="4"/>
  <c r="AC423" i="4"/>
  <c r="AD423" i="4"/>
  <c r="AE423" i="4" s="1"/>
  <c r="AC422" i="4"/>
  <c r="AD422" i="4"/>
  <c r="AE422" i="4" s="1"/>
  <c r="AC417" i="4"/>
  <c r="AD417" i="4"/>
  <c r="AE417" i="4" s="1"/>
  <c r="AC415" i="4"/>
  <c r="AD415" i="4"/>
  <c r="AE415" i="4" s="1"/>
  <c r="AC416" i="4"/>
  <c r="AE416" i="4"/>
  <c r="AC414" i="4"/>
  <c r="AD414" i="4"/>
  <c r="AE414" i="4" s="1"/>
  <c r="AC324" i="4"/>
  <c r="AD324" i="4"/>
  <c r="AE324" i="4" s="1"/>
  <c r="AC322" i="4"/>
  <c r="AD322" i="4"/>
  <c r="AE322" i="4" s="1"/>
  <c r="AC321" i="4"/>
  <c r="AD321" i="4"/>
  <c r="AE321" i="4" s="1"/>
  <c r="AC320" i="4"/>
  <c r="AD320" i="4"/>
  <c r="AE320" i="4" s="1"/>
  <c r="AC319" i="4"/>
  <c r="AD319" i="4"/>
  <c r="AE319" i="4" s="1"/>
  <c r="AC318" i="4"/>
  <c r="AD318" i="4"/>
  <c r="AE318" i="4" s="1"/>
  <c r="AC317" i="4"/>
  <c r="AD317" i="4"/>
  <c r="AE317" i="4" s="1"/>
  <c r="AC316" i="4"/>
  <c r="AD316" i="4"/>
  <c r="AE316" i="4" s="1"/>
  <c r="AC315" i="4"/>
  <c r="AD315" i="4"/>
  <c r="AE315" i="4" s="1"/>
  <c r="AC312" i="4"/>
  <c r="AD312" i="4"/>
  <c r="AE312" i="4" s="1"/>
  <c r="AC310" i="4"/>
  <c r="AD310" i="4"/>
  <c r="AE310" i="4" s="1"/>
  <c r="AC309" i="4"/>
  <c r="AD309" i="4"/>
  <c r="AE309" i="4" s="1"/>
  <c r="AC308" i="4"/>
  <c r="AD308" i="4"/>
  <c r="AE308" i="4" s="1"/>
  <c r="AC307" i="4"/>
  <c r="AD307" i="4"/>
  <c r="AE307" i="4" s="1"/>
  <c r="AC306" i="4"/>
  <c r="AD306" i="4"/>
  <c r="AE306" i="4" s="1"/>
  <c r="AC305" i="4"/>
  <c r="AD305" i="4"/>
  <c r="AE305" i="4" s="1"/>
  <c r="AC304" i="4"/>
  <c r="AD304" i="4"/>
  <c r="AE304" i="4" s="1"/>
  <c r="AC303" i="4"/>
  <c r="AD303" i="4"/>
  <c r="AE303" i="4" s="1"/>
  <c r="AC302" i="4"/>
  <c r="AD302" i="4"/>
  <c r="AE302" i="4" s="1"/>
  <c r="AC301" i="4"/>
  <c r="AD301" i="4"/>
  <c r="AE301" i="4" s="1"/>
  <c r="AC300" i="4"/>
  <c r="AD300" i="4"/>
  <c r="AE300" i="4" s="1"/>
  <c r="AC299" i="4"/>
  <c r="AD299" i="4"/>
  <c r="AE299" i="4" s="1"/>
  <c r="AC298" i="4"/>
  <c r="AD298" i="4"/>
  <c r="AE298" i="4" s="1"/>
  <c r="AC297" i="4"/>
  <c r="AD297" i="4"/>
  <c r="AE297" i="4" s="1"/>
  <c r="AC296" i="4"/>
  <c r="AD296" i="4"/>
  <c r="AE296" i="4" s="1"/>
  <c r="AC295" i="4"/>
  <c r="AD295" i="4"/>
  <c r="AE295" i="4" s="1"/>
  <c r="AC294" i="4"/>
  <c r="AD294" i="4"/>
  <c r="AE294" i="4" s="1"/>
  <c r="AC293" i="4"/>
  <c r="AD293" i="4"/>
  <c r="AE293" i="4" s="1"/>
  <c r="AC292" i="4"/>
  <c r="AD292" i="4"/>
  <c r="AE292" i="4" s="1"/>
  <c r="AC291" i="4"/>
  <c r="AD291" i="4"/>
  <c r="AE291" i="4" s="1"/>
  <c r="AC204" i="4"/>
  <c r="AD204" i="4"/>
  <c r="AE204" i="4" s="1"/>
  <c r="AC202" i="4"/>
  <c r="AD202" i="4"/>
  <c r="AE202" i="4" s="1"/>
  <c r="AC201" i="4"/>
  <c r="AD201" i="4"/>
  <c r="AE201" i="4" s="1"/>
  <c r="AC200" i="4"/>
  <c r="AD200" i="4"/>
  <c r="AE200" i="4" s="1"/>
  <c r="AC199" i="4"/>
  <c r="AD199" i="4"/>
  <c r="AE199" i="4" s="1"/>
  <c r="AC198" i="4"/>
  <c r="AD198" i="4"/>
  <c r="AE198" i="4" s="1"/>
  <c r="AC197" i="4"/>
  <c r="AD197" i="4"/>
  <c r="AE197" i="4" s="1"/>
  <c r="AC196" i="4"/>
  <c r="AD196" i="4"/>
  <c r="AE196" i="4" s="1"/>
  <c r="AC195" i="4"/>
  <c r="AD195" i="4"/>
  <c r="AE195" i="4" s="1"/>
  <c r="AC192" i="4"/>
  <c r="AD192" i="4"/>
  <c r="AE192" i="4" s="1"/>
  <c r="AC181" i="4"/>
  <c r="AD181" i="4"/>
  <c r="AE181" i="4" s="1"/>
  <c r="AC179" i="4"/>
  <c r="AD179" i="4"/>
  <c r="AE179" i="4" s="1"/>
  <c r="AC177" i="4"/>
  <c r="AD177" i="4"/>
  <c r="AE177" i="4" s="1"/>
  <c r="AC175" i="4"/>
  <c r="AD175" i="4"/>
  <c r="AE175" i="4" s="1"/>
  <c r="AC173" i="4"/>
  <c r="AD173" i="4"/>
  <c r="AE173" i="4" s="1"/>
  <c r="AC172" i="4"/>
  <c r="AD172" i="4"/>
  <c r="AE172" i="4" s="1"/>
  <c r="AC171" i="4"/>
  <c r="AD171" i="4"/>
  <c r="AE171" i="4" s="1"/>
  <c r="AC190" i="4"/>
  <c r="AD190" i="4"/>
  <c r="AE190" i="4" s="1"/>
  <c r="AC189" i="4"/>
  <c r="AD189" i="4"/>
  <c r="AE189" i="4" s="1"/>
  <c r="AC188" i="4"/>
  <c r="AD188" i="4"/>
  <c r="AE188" i="4" s="1"/>
  <c r="AC187" i="4"/>
  <c r="AD187" i="4"/>
  <c r="AE187" i="4" s="1"/>
  <c r="AC186" i="4"/>
  <c r="AD186" i="4"/>
  <c r="AE186" i="4" s="1"/>
  <c r="AC185" i="4"/>
  <c r="AD185" i="4"/>
  <c r="AE185" i="4" s="1"/>
  <c r="AC184" i="4"/>
  <c r="AD184" i="4"/>
  <c r="AE184" i="4" s="1"/>
  <c r="AC183" i="4"/>
  <c r="AD183" i="4"/>
  <c r="AE183" i="4" s="1"/>
  <c r="AC182" i="4"/>
  <c r="AD182" i="4"/>
  <c r="AE182" i="4" s="1"/>
  <c r="AC180" i="4"/>
  <c r="AD180" i="4"/>
  <c r="AE180" i="4" s="1"/>
  <c r="AC178" i="4"/>
  <c r="AD178" i="4"/>
  <c r="AE178" i="4" s="1"/>
  <c r="AC176" i="4"/>
  <c r="AD176" i="4"/>
  <c r="AE176" i="4" s="1"/>
  <c r="AC174" i="4"/>
  <c r="AD174" i="4"/>
  <c r="AE174" i="4" s="1"/>
  <c r="Z1398" i="2"/>
  <c r="AA1400" i="2"/>
  <c r="Z1402" i="2"/>
  <c r="Z1404" i="2"/>
  <c r="AA1404" i="2" s="1"/>
  <c r="Z1406" i="2"/>
  <c r="Z1408" i="2"/>
  <c r="AA1408" i="2" s="1"/>
  <c r="Z1392" i="2"/>
  <c r="AA1392" i="2" s="1"/>
  <c r="Z1393" i="2"/>
  <c r="AA1393" i="2" s="1"/>
  <c r="Z1394" i="2"/>
  <c r="AA1394" i="2" s="1"/>
  <c r="AA1395" i="2"/>
  <c r="Z1396" i="2"/>
  <c r="AA1396" i="2" s="1"/>
  <c r="AA1397" i="2"/>
  <c r="AA1398" i="2"/>
  <c r="AA1399" i="2"/>
  <c r="AA1401" i="2"/>
  <c r="AA1402" i="2"/>
  <c r="AA1403" i="2"/>
  <c r="AA1405" i="2"/>
  <c r="AA1406" i="2"/>
  <c r="AA1407" i="2"/>
  <c r="AA1409" i="2"/>
  <c r="AA1383" i="2"/>
  <c r="Z1384" i="2"/>
  <c r="AA1384" i="2" s="1"/>
  <c r="Z1385" i="2"/>
  <c r="AA1385" i="2" s="1"/>
  <c r="Z1386" i="2"/>
  <c r="AA1386" i="2" s="1"/>
  <c r="AA1387" i="2"/>
  <c r="Z1388" i="2"/>
  <c r="AA1388" i="2" s="1"/>
  <c r="Z1389" i="2"/>
  <c r="AA1389" i="2" s="1"/>
  <c r="AA1390" i="2"/>
  <c r="Z1391" i="2"/>
  <c r="AA1391" i="2" s="1"/>
  <c r="Z1374" i="2"/>
  <c r="Z1372" i="2"/>
  <c r="AA1372" i="2" s="1"/>
  <c r="Z1370" i="2"/>
  <c r="AA1370" i="2" s="1"/>
  <c r="Z1367" i="2"/>
  <c r="AA1367" i="2" s="1"/>
  <c r="Z1368" i="2"/>
  <c r="AA1368" i="2" s="1"/>
  <c r="Z1364" i="2"/>
  <c r="AA1364" i="2" s="1"/>
  <c r="Z1365" i="2"/>
  <c r="AA1365" i="2" s="1"/>
  <c r="Z1361" i="2"/>
  <c r="AA1361" i="2" s="1"/>
  <c r="Z1362" i="2"/>
  <c r="AA1362" i="2" s="1"/>
  <c r="Z1359" i="2"/>
  <c r="AA1359" i="2" s="1"/>
  <c r="Z1284" i="2"/>
  <c r="AA1284" i="2" s="1"/>
  <c r="Z1278" i="2"/>
  <c r="AA1278" i="2" s="1"/>
  <c r="Z1280" i="2"/>
  <c r="AA1280" i="2" s="1"/>
  <c r="Z1281" i="2"/>
  <c r="AA1281" i="2" s="1"/>
  <c r="Z1282" i="2"/>
  <c r="AA1282" i="2" s="1"/>
  <c r="Z1279" i="2"/>
  <c r="AA1279" i="2" s="1"/>
  <c r="Z1276" i="2"/>
  <c r="AA1276" i="2" s="1"/>
  <c r="Z1277" i="2"/>
  <c r="AA1277" i="2" s="1"/>
  <c r="Z1272" i="2"/>
  <c r="AA1272" i="2" s="1"/>
  <c r="AA1273" i="2"/>
  <c r="AA1274" i="2"/>
  <c r="Z1275" i="2"/>
  <c r="AA1275" i="2" s="1"/>
  <c r="Z1264" i="2"/>
  <c r="AA1264" i="2" s="1"/>
  <c r="Z1265" i="2"/>
  <c r="AA1265" i="2" s="1"/>
  <c r="Z1266" i="2"/>
  <c r="AA1266" i="2" s="1"/>
  <c r="Z1267" i="2"/>
  <c r="AA1267" i="2" s="1"/>
  <c r="Z1268" i="2"/>
  <c r="AA1268" i="2" s="1"/>
  <c r="Z1269" i="2"/>
  <c r="AA1269" i="2" s="1"/>
  <c r="AA1270" i="2"/>
  <c r="Z1271" i="2"/>
  <c r="AA1271" i="2" s="1"/>
  <c r="Z1260" i="2"/>
  <c r="AA1260" i="2" s="1"/>
  <c r="Z1261" i="2"/>
  <c r="AA1261" i="2" s="1"/>
  <c r="AA1258" i="2"/>
  <c r="AA1262" i="2"/>
  <c r="Z1249" i="2"/>
  <c r="Z1247" i="2"/>
  <c r="AA1247" i="2" s="1"/>
  <c r="Z1245" i="2"/>
  <c r="AA1245" i="2" s="1"/>
  <c r="Z1242" i="2"/>
  <c r="AA1242" i="2" s="1"/>
  <c r="Z1243" i="2"/>
  <c r="AA1243" i="2" s="1"/>
  <c r="Z1239" i="2"/>
  <c r="AA1239" i="2" s="1"/>
  <c r="Z1240" i="2"/>
  <c r="AA1240" i="2" s="1"/>
  <c r="Z1236" i="2"/>
  <c r="AA1236" i="2" s="1"/>
  <c r="Z1237" i="2"/>
  <c r="AA1237" i="2" s="1"/>
  <c r="Z1234" i="2"/>
  <c r="AA1234" i="2" s="1"/>
  <c r="Z1170" i="2"/>
  <c r="AA1170" i="2" s="1"/>
  <c r="Z1161" i="2"/>
  <c r="AA1161" i="2" s="1"/>
  <c r="Z1162" i="2"/>
  <c r="AA1162" i="2" s="1"/>
  <c r="Z1163" i="2"/>
  <c r="AA1163" i="2" s="1"/>
  <c r="Z1164" i="2"/>
  <c r="AA1164" i="2" s="1"/>
  <c r="Z1165" i="2"/>
  <c r="AA1165" i="2" s="1"/>
  <c r="Z1166" i="2"/>
  <c r="AA1166" i="2" s="1"/>
  <c r="Z1167" i="2"/>
  <c r="AA1167" i="2" s="1"/>
  <c r="Z1168" i="2"/>
  <c r="AA1168" i="2" s="1"/>
  <c r="Z1158" i="2"/>
  <c r="AA1158" i="2" s="1"/>
  <c r="Z1137" i="2"/>
  <c r="AA1137" i="2" s="1"/>
  <c r="Z1138" i="2"/>
  <c r="AA1138" i="2" s="1"/>
  <c r="Z1139" i="2"/>
  <c r="AA1139" i="2" s="1"/>
  <c r="Z1140" i="2"/>
  <c r="AA1140" i="2" s="1"/>
  <c r="Z1141" i="2"/>
  <c r="AA1141" i="2" s="1"/>
  <c r="Z1142" i="2"/>
  <c r="AA1142" i="2" s="1"/>
  <c r="Z1143" i="2"/>
  <c r="AA1143" i="2" s="1"/>
  <c r="Z1144" i="2"/>
  <c r="AA1144" i="2" s="1"/>
  <c r="Z1145" i="2"/>
  <c r="AA1145" i="2" s="1"/>
  <c r="Z1146" i="2"/>
  <c r="AA1146" i="2" s="1"/>
  <c r="Z1147" i="2"/>
  <c r="AA1147" i="2" s="1"/>
  <c r="Z1148" i="2"/>
  <c r="AA1148" i="2" s="1"/>
  <c r="Z1149" i="2"/>
  <c r="AA1149" i="2" s="1"/>
  <c r="Z1150" i="2"/>
  <c r="AA1150" i="2" s="1"/>
  <c r="Z1151" i="2"/>
  <c r="AA1151" i="2" s="1"/>
  <c r="Z1152" i="2"/>
  <c r="AA1152" i="2" s="1"/>
  <c r="Z1153" i="2"/>
  <c r="AA1153" i="2" s="1"/>
  <c r="Z1154" i="2"/>
  <c r="AA1154" i="2" s="1"/>
  <c r="Z1155" i="2"/>
  <c r="AA1155" i="2" s="1"/>
  <c r="Z1156" i="2"/>
  <c r="AA1156" i="2" s="1"/>
  <c r="Z1128" i="2"/>
  <c r="AA1128" i="2" s="1"/>
  <c r="Z1126" i="2"/>
  <c r="AA1126" i="2" s="1"/>
  <c r="Z1124" i="2"/>
  <c r="AA1124" i="2" s="1"/>
  <c r="Z1121" i="2"/>
  <c r="AA1121" i="2" s="1"/>
  <c r="Z1122" i="2"/>
  <c r="AA1122" i="2" s="1"/>
  <c r="Z1118" i="2"/>
  <c r="AA1118" i="2" s="1"/>
  <c r="Z1119" i="2"/>
  <c r="AA1119" i="2" s="1"/>
  <c r="Z1115" i="2"/>
  <c r="AA1115" i="2" s="1"/>
  <c r="Z1116" i="2"/>
  <c r="AA1116" i="2" s="1"/>
  <c r="Z1113" i="2"/>
  <c r="AA1113" i="2" s="1"/>
  <c r="Z1048" i="2"/>
  <c r="AA1048" i="2" s="1"/>
  <c r="Z1039" i="2"/>
  <c r="AA1039" i="2" s="1"/>
  <c r="Z1040" i="2"/>
  <c r="AA1040" i="2" s="1"/>
  <c r="Z1041" i="2"/>
  <c r="AA1041" i="2" s="1"/>
  <c r="Z1042" i="2"/>
  <c r="AA1042" i="2" s="1"/>
  <c r="Z1043" i="2"/>
  <c r="AA1043" i="2" s="1"/>
  <c r="Z1044" i="2"/>
  <c r="AA1044" i="2" s="1"/>
  <c r="Z1045" i="2"/>
  <c r="AA1045" i="2" s="1"/>
  <c r="Z1046" i="2"/>
  <c r="AA1046" i="2" s="1"/>
  <c r="Z1036" i="2"/>
  <c r="AA1036" i="2" s="1"/>
  <c r="Z1015" i="2"/>
  <c r="AA1015" i="2" s="1"/>
  <c r="Z1016" i="2"/>
  <c r="AA1016" i="2" s="1"/>
  <c r="Z1017" i="2"/>
  <c r="AA1017" i="2" s="1"/>
  <c r="Z1018" i="2"/>
  <c r="AA1018" i="2" s="1"/>
  <c r="Z1019" i="2"/>
  <c r="AA1019" i="2" s="1"/>
  <c r="Z1020" i="2"/>
  <c r="AA1020" i="2" s="1"/>
  <c r="Z1021" i="2"/>
  <c r="AA1021" i="2" s="1"/>
  <c r="Z1022" i="2"/>
  <c r="AA1022" i="2" s="1"/>
  <c r="Z1023" i="2"/>
  <c r="AA1023" i="2" s="1"/>
  <c r="Z1024" i="2"/>
  <c r="AA1024" i="2" s="1"/>
  <c r="Z1025" i="2"/>
  <c r="AA1025" i="2" s="1"/>
  <c r="Z1026" i="2"/>
  <c r="AA1026" i="2" s="1"/>
  <c r="Z1027" i="2"/>
  <c r="AA1027" i="2" s="1"/>
  <c r="Z1028" i="2"/>
  <c r="AA1028" i="2" s="1"/>
  <c r="Z1029" i="2"/>
  <c r="AA1029" i="2" s="1"/>
  <c r="Z1030" i="2"/>
  <c r="AA1030" i="2" s="1"/>
  <c r="Z1031" i="2"/>
  <c r="AA1031" i="2" s="1"/>
  <c r="Z1032" i="2"/>
  <c r="AA1032" i="2" s="1"/>
  <c r="Z1033" i="2"/>
  <c r="AA1033" i="2" s="1"/>
  <c r="Z1034" i="2"/>
  <c r="AA1034" i="2" s="1"/>
  <c r="Z1006" i="2"/>
  <c r="AA1006" i="2" s="1"/>
  <c r="Z1004" i="2"/>
  <c r="AA1004" i="2" s="1"/>
  <c r="Z1002" i="2"/>
  <c r="AA1002" i="2" s="1"/>
  <c r="Z999" i="2"/>
  <c r="AA999" i="2" s="1"/>
  <c r="Z1000" i="2"/>
  <c r="AA1000" i="2" s="1"/>
  <c r="Z996" i="2"/>
  <c r="AA996" i="2" s="1"/>
  <c r="Z997" i="2"/>
  <c r="AA997" i="2" s="1"/>
  <c r="Z993" i="2"/>
  <c r="AA993" i="2" s="1"/>
  <c r="Z994" i="2"/>
  <c r="AA994" i="2" s="1"/>
  <c r="Z991" i="2"/>
  <c r="AA991" i="2" s="1"/>
  <c r="Z926" i="2"/>
  <c r="AA926" i="2" s="1"/>
  <c r="Z917" i="2"/>
  <c r="AA917" i="2" s="1"/>
  <c r="Z918" i="2"/>
  <c r="AA918" i="2" s="1"/>
  <c r="Z919" i="2"/>
  <c r="AA919" i="2" s="1"/>
  <c r="Z920" i="2"/>
  <c r="AA920" i="2" s="1"/>
  <c r="Z921" i="2"/>
  <c r="AA921" i="2" s="1"/>
  <c r="Z922" i="2"/>
  <c r="AA922" i="2" s="1"/>
  <c r="Z923" i="2"/>
  <c r="AA923" i="2" s="1"/>
  <c r="Z924" i="2"/>
  <c r="AA924" i="2" s="1"/>
  <c r="Z914" i="2"/>
  <c r="AA914" i="2" s="1"/>
  <c r="Z893" i="2"/>
  <c r="AA893" i="2" s="1"/>
  <c r="Z894" i="2"/>
  <c r="AA894" i="2" s="1"/>
  <c r="Z895" i="2"/>
  <c r="AA895" i="2" s="1"/>
  <c r="Z896" i="2"/>
  <c r="AA896" i="2" s="1"/>
  <c r="Z897" i="2"/>
  <c r="AA897" i="2" s="1"/>
  <c r="Z898" i="2"/>
  <c r="AA898" i="2" s="1"/>
  <c r="Z899" i="2"/>
  <c r="AA899" i="2" s="1"/>
  <c r="Z900" i="2"/>
  <c r="AA900" i="2" s="1"/>
  <c r="Z901" i="2"/>
  <c r="AA901" i="2" s="1"/>
  <c r="Z902" i="2"/>
  <c r="AA902" i="2" s="1"/>
  <c r="Z903" i="2"/>
  <c r="AA903" i="2" s="1"/>
  <c r="Z904" i="2"/>
  <c r="AA904" i="2" s="1"/>
  <c r="Z905" i="2"/>
  <c r="AA905" i="2" s="1"/>
  <c r="Z906" i="2"/>
  <c r="AA906" i="2" s="1"/>
  <c r="Z907" i="2"/>
  <c r="AA907" i="2" s="1"/>
  <c r="Z908" i="2"/>
  <c r="AA908" i="2" s="1"/>
  <c r="Z909" i="2"/>
  <c r="AA909" i="2" s="1"/>
  <c r="Z910" i="2"/>
  <c r="AA910" i="2" s="1"/>
  <c r="Z911" i="2"/>
  <c r="AA911" i="2" s="1"/>
  <c r="Z912" i="2"/>
  <c r="AA912" i="2" s="1"/>
  <c r="Z884" i="2"/>
  <c r="AA884" i="2" s="1"/>
  <c r="Z882" i="2"/>
  <c r="AA882" i="2" s="1"/>
  <c r="Z880" i="2"/>
  <c r="AA880" i="2" s="1"/>
  <c r="Z877" i="2"/>
  <c r="AA877" i="2" s="1"/>
  <c r="Z878" i="2"/>
  <c r="AA878" i="2" s="1"/>
  <c r="Z874" i="2"/>
  <c r="AA874" i="2" s="1"/>
  <c r="Z875" i="2"/>
  <c r="AA875" i="2" s="1"/>
  <c r="Z871" i="2"/>
  <c r="AA871" i="2" s="1"/>
  <c r="Z872" i="2"/>
  <c r="AA872" i="2" s="1"/>
  <c r="Z869" i="2"/>
  <c r="AA869" i="2" s="1"/>
  <c r="Z805" i="2"/>
  <c r="AA805" i="2" s="1"/>
  <c r="Z796" i="2"/>
  <c r="AA796" i="2" s="1"/>
  <c r="Z797" i="2"/>
  <c r="AA797" i="2" s="1"/>
  <c r="Z798" i="2"/>
  <c r="AA798" i="2" s="1"/>
  <c r="Z799" i="2"/>
  <c r="AA799" i="2" s="1"/>
  <c r="Z800" i="2"/>
  <c r="AA800" i="2" s="1"/>
  <c r="Z801" i="2"/>
  <c r="AA801" i="2" s="1"/>
  <c r="Z802" i="2"/>
  <c r="AA802" i="2" s="1"/>
  <c r="Z803" i="2"/>
  <c r="AA803" i="2" s="1"/>
  <c r="Z793" i="2"/>
  <c r="AA793" i="2" s="1"/>
  <c r="Z772" i="2"/>
  <c r="AA772" i="2" s="1"/>
  <c r="Z773" i="2"/>
  <c r="AA773" i="2" s="1"/>
  <c r="Z774" i="2"/>
  <c r="AA774" i="2" s="1"/>
  <c r="Z775" i="2"/>
  <c r="AA775" i="2" s="1"/>
  <c r="Z776" i="2"/>
  <c r="AA776" i="2" s="1"/>
  <c r="Z777" i="2"/>
  <c r="AA777" i="2" s="1"/>
  <c r="Z778" i="2"/>
  <c r="AA778" i="2" s="1"/>
  <c r="Z779" i="2"/>
  <c r="AA779" i="2" s="1"/>
  <c r="Z780" i="2"/>
  <c r="AA780" i="2" s="1"/>
  <c r="Z781" i="2"/>
  <c r="AA781" i="2" s="1"/>
  <c r="Z782" i="2"/>
  <c r="AA782" i="2" s="1"/>
  <c r="Z783" i="2"/>
  <c r="AA783" i="2" s="1"/>
  <c r="Z784" i="2"/>
  <c r="AA784" i="2" s="1"/>
  <c r="Z785" i="2"/>
  <c r="AA785" i="2" s="1"/>
  <c r="Z786" i="2"/>
  <c r="AA786" i="2" s="1"/>
  <c r="Z787" i="2"/>
  <c r="AA787" i="2" s="1"/>
  <c r="Z788" i="2"/>
  <c r="AA788" i="2" s="1"/>
  <c r="Z789" i="2"/>
  <c r="AA789" i="2" s="1"/>
  <c r="Z790" i="2"/>
  <c r="AA790" i="2" s="1"/>
  <c r="Z791" i="2"/>
  <c r="AA791" i="2" s="1"/>
  <c r="Z763" i="2"/>
  <c r="AA763" i="2" s="1"/>
  <c r="Z761" i="2"/>
  <c r="AA761" i="2" s="1"/>
  <c r="Z759" i="2"/>
  <c r="AA759" i="2" s="1"/>
  <c r="Z756" i="2"/>
  <c r="AA756" i="2" s="1"/>
  <c r="Z757" i="2"/>
  <c r="AA757" i="2" s="1"/>
  <c r="Z753" i="2"/>
  <c r="AA753" i="2" s="1"/>
  <c r="Z754" i="2"/>
  <c r="AA754" i="2" s="1"/>
  <c r="Z750" i="2"/>
  <c r="AA750" i="2" s="1"/>
  <c r="Z751" i="2"/>
  <c r="AA751" i="2" s="1"/>
  <c r="Z748" i="2"/>
  <c r="AA748" i="2" s="1"/>
  <c r="Z685" i="2"/>
  <c r="AA685" i="2" s="1"/>
  <c r="Z676" i="2"/>
  <c r="AA676" i="2" s="1"/>
  <c r="Z677" i="2"/>
  <c r="AA677" i="2" s="1"/>
  <c r="Z678" i="2"/>
  <c r="AA678" i="2" s="1"/>
  <c r="Z679" i="2"/>
  <c r="AA679" i="2" s="1"/>
  <c r="Z680" i="2"/>
  <c r="AA680" i="2" s="1"/>
  <c r="Z681" i="2"/>
  <c r="AA681" i="2" s="1"/>
  <c r="Z682" i="2"/>
  <c r="AA682" i="2" s="1"/>
  <c r="Z683" i="2"/>
  <c r="AA683" i="2" s="1"/>
  <c r="Z673" i="2"/>
  <c r="AA673" i="2" s="1"/>
  <c r="Z652" i="2"/>
  <c r="AA652" i="2" s="1"/>
  <c r="Z653" i="2"/>
  <c r="AA653" i="2" s="1"/>
  <c r="Z654" i="2"/>
  <c r="AA654" i="2" s="1"/>
  <c r="Z655" i="2"/>
  <c r="AA655" i="2" s="1"/>
  <c r="Z656" i="2"/>
  <c r="AA656" i="2" s="1"/>
  <c r="Z657" i="2"/>
  <c r="AA657" i="2" s="1"/>
  <c r="Z658" i="2"/>
  <c r="AA658" i="2" s="1"/>
  <c r="Z659" i="2"/>
  <c r="AA659" i="2" s="1"/>
  <c r="Z660" i="2"/>
  <c r="AA660" i="2" s="1"/>
  <c r="Z661" i="2"/>
  <c r="AA661" i="2" s="1"/>
  <c r="Z662" i="2"/>
  <c r="AA662" i="2" s="1"/>
  <c r="Z663" i="2"/>
  <c r="AA663" i="2" s="1"/>
  <c r="Z664" i="2"/>
  <c r="AA664" i="2" s="1"/>
  <c r="Z665" i="2"/>
  <c r="AA665" i="2" s="1"/>
  <c r="Z666" i="2"/>
  <c r="AA666" i="2" s="1"/>
  <c r="Z667" i="2"/>
  <c r="AA667" i="2" s="1"/>
  <c r="Z668" i="2"/>
  <c r="AA668" i="2" s="1"/>
  <c r="Z669" i="2"/>
  <c r="AA669" i="2" s="1"/>
  <c r="Z670" i="2"/>
  <c r="AA670" i="2" s="1"/>
  <c r="Z671" i="2"/>
  <c r="AA671" i="2" s="1"/>
  <c r="Z643" i="2"/>
  <c r="AA643" i="2" s="1"/>
  <c r="Z641" i="2"/>
  <c r="AA641" i="2" s="1"/>
  <c r="Z639" i="2"/>
  <c r="AA639" i="2" s="1"/>
  <c r="Z636" i="2"/>
  <c r="AA636" i="2" s="1"/>
  <c r="Z637" i="2"/>
  <c r="AA637" i="2" s="1"/>
  <c r="Z633" i="2"/>
  <c r="AA633" i="2" s="1"/>
  <c r="Z634" i="2"/>
  <c r="AA634" i="2" s="1"/>
  <c r="Z630" i="2"/>
  <c r="AA630" i="2" s="1"/>
  <c r="Z631" i="2"/>
  <c r="AA631" i="2" s="1"/>
  <c r="Z628" i="2"/>
  <c r="AA628" i="2" s="1"/>
  <c r="Z564" i="2"/>
  <c r="AA564" i="2" s="1"/>
  <c r="Z555" i="2"/>
  <c r="AA555" i="2" s="1"/>
  <c r="Z556" i="2"/>
  <c r="AA556" i="2" s="1"/>
  <c r="Z557" i="2"/>
  <c r="AA557" i="2" s="1"/>
  <c r="Z558" i="2"/>
  <c r="AA558" i="2" s="1"/>
  <c r="Z559" i="2"/>
  <c r="AA559" i="2" s="1"/>
  <c r="Z560" i="2"/>
  <c r="AA560" i="2" s="1"/>
  <c r="Z561" i="2"/>
  <c r="AA561" i="2" s="1"/>
  <c r="Z562" i="2"/>
  <c r="AA562" i="2" s="1"/>
  <c r="Z552" i="2"/>
  <c r="AA552" i="2" s="1"/>
  <c r="Z531" i="2"/>
  <c r="AA531" i="2" s="1"/>
  <c r="Z532" i="2"/>
  <c r="AA532" i="2" s="1"/>
  <c r="Z533" i="2"/>
  <c r="AA533" i="2" s="1"/>
  <c r="Z534" i="2"/>
  <c r="AA534" i="2" s="1"/>
  <c r="Z535" i="2"/>
  <c r="AA535" i="2" s="1"/>
  <c r="Z536" i="2"/>
  <c r="AA536" i="2" s="1"/>
  <c r="Z537" i="2"/>
  <c r="AA537" i="2" s="1"/>
  <c r="Z538" i="2"/>
  <c r="AA538" i="2" s="1"/>
  <c r="Z539" i="2"/>
  <c r="AA539" i="2" s="1"/>
  <c r="Z540" i="2"/>
  <c r="AA540" i="2" s="1"/>
  <c r="Z541" i="2"/>
  <c r="AA541" i="2" s="1"/>
  <c r="Z542" i="2"/>
  <c r="AA542" i="2" s="1"/>
  <c r="Z543" i="2"/>
  <c r="AA543" i="2" s="1"/>
  <c r="Z544" i="2"/>
  <c r="AA544" i="2" s="1"/>
  <c r="Z545" i="2"/>
  <c r="AA545" i="2" s="1"/>
  <c r="Z546" i="2"/>
  <c r="AA546" i="2" s="1"/>
  <c r="Z547" i="2"/>
  <c r="AA547" i="2" s="1"/>
  <c r="Z548" i="2"/>
  <c r="AA548" i="2" s="1"/>
  <c r="Z549" i="2"/>
  <c r="AA549" i="2" s="1"/>
  <c r="Z550" i="2"/>
  <c r="AA550" i="2" s="1"/>
  <c r="Z522" i="2"/>
  <c r="AA522" i="2" s="1"/>
  <c r="Z520" i="2"/>
  <c r="AA520" i="2" s="1"/>
  <c r="Z518" i="2"/>
  <c r="AA518" i="2" s="1"/>
  <c r="Z515" i="2"/>
  <c r="AA515" i="2" s="1"/>
  <c r="Z516" i="2"/>
  <c r="AA516" i="2" s="1"/>
  <c r="Z512" i="2"/>
  <c r="AA512" i="2" s="1"/>
  <c r="Z513" i="2"/>
  <c r="AA513" i="2" s="1"/>
  <c r="Z509" i="2"/>
  <c r="AA509" i="2" s="1"/>
  <c r="Z510" i="2"/>
  <c r="AA510" i="2" s="1"/>
  <c r="Z507" i="2"/>
  <c r="AA507" i="2" s="1"/>
  <c r="Z444" i="2"/>
  <c r="AA444" i="2" s="1"/>
  <c r="Z435" i="2"/>
  <c r="AA435" i="2" s="1"/>
  <c r="Z436" i="2"/>
  <c r="AA436" i="2" s="1"/>
  <c r="Z437" i="2"/>
  <c r="AA437" i="2" s="1"/>
  <c r="Z438" i="2"/>
  <c r="AA438" i="2" s="1"/>
  <c r="Z439" i="2"/>
  <c r="AA439" i="2" s="1"/>
  <c r="Z440" i="2"/>
  <c r="AA440" i="2" s="1"/>
  <c r="Z441" i="2"/>
  <c r="AA441" i="2" s="1"/>
  <c r="Z442" i="2"/>
  <c r="AA442" i="2" s="1"/>
  <c r="Z411" i="2"/>
  <c r="AA411" i="2" s="1"/>
  <c r="Z412" i="2"/>
  <c r="AA412" i="2" s="1"/>
  <c r="Z413" i="2"/>
  <c r="AA413" i="2" s="1"/>
  <c r="Z414" i="2"/>
  <c r="AA414" i="2" s="1"/>
  <c r="Z415" i="2"/>
  <c r="AA415" i="2" s="1"/>
  <c r="Z416" i="2"/>
  <c r="AA416" i="2" s="1"/>
  <c r="Z417" i="2"/>
  <c r="AA417" i="2" s="1"/>
  <c r="Z418" i="2"/>
  <c r="AA418" i="2" s="1"/>
  <c r="Z419" i="2"/>
  <c r="AA419" i="2" s="1"/>
  <c r="Z420" i="2"/>
  <c r="AA420" i="2" s="1"/>
  <c r="Z421" i="2"/>
  <c r="AA421" i="2" s="1"/>
  <c r="Z422" i="2"/>
  <c r="AA422" i="2" s="1"/>
  <c r="Z423" i="2"/>
  <c r="AA423" i="2" s="1"/>
  <c r="Z424" i="2"/>
  <c r="AA424" i="2" s="1"/>
  <c r="Z425" i="2"/>
  <c r="AA425" i="2" s="1"/>
  <c r="Z426" i="2"/>
  <c r="AA426" i="2" s="1"/>
  <c r="Z427" i="2"/>
  <c r="AA427" i="2" s="1"/>
  <c r="Z428" i="2"/>
  <c r="AA428" i="2" s="1"/>
  <c r="Z429" i="2"/>
  <c r="AA429" i="2" s="1"/>
  <c r="Z430" i="2"/>
  <c r="AA430" i="2" s="1"/>
  <c r="Z432" i="2"/>
  <c r="AA432" i="2" s="1"/>
  <c r="Z1358" i="2"/>
  <c r="AA1358" i="2" s="1"/>
  <c r="Z1233" i="2"/>
  <c r="AA1233" i="2" s="1"/>
  <c r="Z1112" i="2"/>
  <c r="AA1112" i="2" s="1"/>
  <c r="Z990" i="2"/>
  <c r="AA990" i="2" s="1"/>
  <c r="Z868" i="2"/>
  <c r="AA868" i="2" s="1"/>
  <c r="Z747" i="2"/>
  <c r="AA747" i="2" s="1"/>
  <c r="Z627" i="2"/>
  <c r="AA627" i="2" s="1"/>
  <c r="Z506" i="2"/>
  <c r="AA506" i="2" s="1"/>
  <c r="Z1382" i="2"/>
  <c r="AA1382" i="2" s="1"/>
  <c r="Z1257" i="2"/>
  <c r="AA1257" i="2" s="1"/>
  <c r="Z1136" i="2"/>
  <c r="AA1136" i="2" s="1"/>
  <c r="Z1014" i="2"/>
  <c r="AA1014" i="2" s="1"/>
  <c r="Z892" i="2"/>
  <c r="AA892" i="2" s="1"/>
  <c r="Z771" i="2"/>
  <c r="AA771" i="2" s="1"/>
  <c r="Z651" i="2"/>
  <c r="AA651" i="2" s="1"/>
  <c r="Z530" i="2"/>
  <c r="AA530" i="2" s="1"/>
  <c r="Z410" i="2"/>
  <c r="AA410" i="2" s="1"/>
  <c r="Z402" i="2"/>
  <c r="AA402" i="2" s="1"/>
  <c r="Z400" i="2"/>
  <c r="AA400" i="2" s="1"/>
  <c r="Z398" i="2"/>
  <c r="AA398" i="2" s="1"/>
  <c r="Z395" i="2"/>
  <c r="AA395" i="2" s="1"/>
  <c r="Z396" i="2"/>
  <c r="AA396" i="2" s="1"/>
  <c r="Z392" i="2"/>
  <c r="AA392" i="2" s="1"/>
  <c r="Z393" i="2"/>
  <c r="AA393" i="2" s="1"/>
  <c r="Z389" i="2"/>
  <c r="AA389" i="2" s="1"/>
  <c r="Z390" i="2"/>
  <c r="AA390" i="2" s="1"/>
  <c r="Z387" i="2"/>
  <c r="AA387" i="2" s="1"/>
  <c r="Z386" i="2"/>
  <c r="AA386" i="2" s="1"/>
  <c r="Z315" i="2"/>
  <c r="AA315" i="2" s="1"/>
  <c r="Z316" i="2"/>
  <c r="AA316" i="2" s="1"/>
  <c r="Z317" i="2"/>
  <c r="AA317" i="2" s="1"/>
  <c r="Z318" i="2"/>
  <c r="AA318" i="2" s="1"/>
  <c r="Z319" i="2"/>
  <c r="AA319" i="2" s="1"/>
  <c r="Z320" i="2"/>
  <c r="AA320" i="2" s="1"/>
  <c r="Z321" i="2"/>
  <c r="AA321" i="2" s="1"/>
  <c r="Z322" i="2"/>
  <c r="AA322" i="2" s="1"/>
  <c r="Z291" i="2"/>
  <c r="AA291" i="2" s="1"/>
  <c r="Z292" i="2"/>
  <c r="AA292" i="2" s="1"/>
  <c r="Z293" i="2"/>
  <c r="AA293" i="2" s="1"/>
  <c r="Z294" i="2"/>
  <c r="AA294" i="2" s="1"/>
  <c r="Z295" i="2"/>
  <c r="AA295" i="2" s="1"/>
  <c r="Z296" i="2"/>
  <c r="AA296" i="2" s="1"/>
  <c r="Z297" i="2"/>
  <c r="AA297" i="2" s="1"/>
  <c r="Z298" i="2"/>
  <c r="AA298" i="2" s="1"/>
  <c r="Z299" i="2"/>
  <c r="AA299" i="2" s="1"/>
  <c r="Z300" i="2"/>
  <c r="AA300" i="2" s="1"/>
  <c r="Z301" i="2"/>
  <c r="AA301" i="2" s="1"/>
  <c r="Z302" i="2"/>
  <c r="AA302" i="2" s="1"/>
  <c r="Z303" i="2"/>
  <c r="AA303" i="2" s="1"/>
  <c r="Z304" i="2"/>
  <c r="AA304" i="2" s="1"/>
  <c r="Z305" i="2"/>
  <c r="AA305" i="2" s="1"/>
  <c r="Z306" i="2"/>
  <c r="AA306" i="2" s="1"/>
  <c r="Z307" i="2"/>
  <c r="AA307" i="2" s="1"/>
  <c r="Z308" i="2"/>
  <c r="AA308" i="2" s="1"/>
  <c r="Z309" i="2"/>
  <c r="AA309" i="2" s="1"/>
  <c r="Z310" i="2"/>
  <c r="AA310" i="2" s="1"/>
  <c r="Z267" i="2"/>
  <c r="AA267" i="2" s="1"/>
  <c r="Z269" i="2"/>
  <c r="AA269" i="2" s="1"/>
  <c r="Z270" i="2"/>
  <c r="AA270" i="2" s="1"/>
  <c r="Z272" i="2"/>
  <c r="AA272" i="2" s="1"/>
  <c r="Z273" i="2"/>
  <c r="AA273" i="2" s="1"/>
  <c r="Z275" i="2"/>
  <c r="AA275" i="2" s="1"/>
  <c r="Z276" i="2"/>
  <c r="AA276" i="2" s="1"/>
  <c r="Z278" i="2"/>
  <c r="AA278" i="2" s="1"/>
  <c r="Z280" i="2"/>
  <c r="AA280" i="2" s="1"/>
  <c r="Z282" i="2"/>
  <c r="AA282" i="2" s="1"/>
  <c r="Z266" i="2"/>
  <c r="AA266" i="2" s="1"/>
  <c r="Z193" i="2"/>
  <c r="AA193" i="2" s="1"/>
  <c r="Z194" i="2"/>
  <c r="AA194" i="2" s="1"/>
  <c r="Z195" i="2"/>
  <c r="AA195" i="2" s="1"/>
  <c r="Z196" i="2"/>
  <c r="AA196" i="2" s="1"/>
  <c r="Z197" i="2"/>
  <c r="AA197" i="2" s="1"/>
  <c r="Z198" i="2"/>
  <c r="AA198" i="2" s="1"/>
  <c r="Z199" i="2"/>
  <c r="AA199" i="2" s="1"/>
  <c r="Z200" i="2"/>
  <c r="AA200" i="2" s="1"/>
  <c r="Z169" i="2"/>
  <c r="AA169" i="2" s="1"/>
  <c r="Z170" i="2"/>
  <c r="AA170" i="2" s="1"/>
  <c r="Z171" i="2"/>
  <c r="AA171" i="2" s="1"/>
  <c r="Z172" i="2"/>
  <c r="AA172" i="2" s="1"/>
  <c r="Z173" i="2"/>
  <c r="AA173" i="2" s="1"/>
  <c r="Z174" i="2"/>
  <c r="AA174" i="2" s="1"/>
  <c r="Z175" i="2"/>
  <c r="AA175" i="2" s="1"/>
  <c r="Z176" i="2"/>
  <c r="AA176" i="2" s="1"/>
  <c r="Z177" i="2"/>
  <c r="AA177" i="2" s="1"/>
  <c r="Z178" i="2"/>
  <c r="AA178" i="2" s="1"/>
  <c r="Z179" i="2"/>
  <c r="AA179" i="2" s="1"/>
  <c r="Z180" i="2"/>
  <c r="AA180" i="2" s="1"/>
  <c r="Z181" i="2"/>
  <c r="AA181" i="2" s="1"/>
  <c r="Z182" i="2"/>
  <c r="AA182" i="2" s="1"/>
  <c r="Z183" i="2"/>
  <c r="AA183" i="2" s="1"/>
  <c r="Z184" i="2"/>
  <c r="AA184" i="2" s="1"/>
  <c r="Z185" i="2"/>
  <c r="AA185" i="2" s="1"/>
  <c r="Z186" i="2"/>
  <c r="AA186" i="2" s="1"/>
  <c r="Z187" i="2"/>
  <c r="AA187" i="2" s="1"/>
  <c r="Z188" i="2"/>
  <c r="AA188" i="2" s="1"/>
  <c r="Z160" i="2"/>
  <c r="AA160" i="2" s="1"/>
  <c r="Z158" i="2"/>
  <c r="AA158" i="2" s="1"/>
  <c r="Z156" i="2"/>
  <c r="AA156" i="2" s="1"/>
  <c r="Z153" i="2"/>
  <c r="AA153" i="2" s="1"/>
  <c r="Z154" i="2"/>
  <c r="AA154" i="2" s="1"/>
  <c r="Z150" i="2"/>
  <c r="AA150" i="2" s="1"/>
  <c r="Z151" i="2"/>
  <c r="AA151" i="2" s="1"/>
  <c r="Z147" i="2"/>
  <c r="AA147" i="2" s="1"/>
  <c r="Z148" i="2"/>
  <c r="AA148" i="2" s="1"/>
  <c r="Z145" i="2"/>
  <c r="AA145" i="2" s="1"/>
  <c r="U424" i="4" l="1"/>
  <c r="U419" i="4"/>
  <c r="U430" i="4"/>
  <c r="U429" i="4"/>
  <c r="U426" i="4"/>
  <c r="U416" i="4"/>
  <c r="U412" i="4"/>
  <c r="O438" i="4"/>
  <c r="O428" i="4"/>
  <c r="O417" i="4"/>
  <c r="O413" i="4" l="1"/>
  <c r="U1401" i="2" l="1"/>
  <c r="U1400" i="2"/>
  <c r="U1397" i="2"/>
  <c r="U1387" i="2"/>
  <c r="U1383" i="2"/>
  <c r="O1276" i="2"/>
  <c r="U1274" i="2"/>
  <c r="U1273" i="2"/>
  <c r="U1270" i="2"/>
  <c r="O1282" i="2"/>
  <c r="O1272" i="2"/>
  <c r="U1262" i="2"/>
  <c r="U1258" i="2"/>
  <c r="O1263" i="2"/>
  <c r="U1395" i="2"/>
  <c r="U1390" i="2"/>
  <c r="R1388" i="2"/>
  <c r="O1388" i="2"/>
  <c r="O1384" i="2"/>
  <c r="P458" i="4" l="1"/>
  <c r="P457" i="4"/>
  <c r="R450" i="4"/>
  <c r="U450" i="4" s="1"/>
  <c r="O450" i="4"/>
  <c r="R449" i="4"/>
  <c r="U449" i="4" s="1"/>
  <c r="U448" i="4"/>
  <c r="O448" i="4"/>
  <c r="U447" i="4"/>
  <c r="R446" i="4"/>
  <c r="U446" i="4" s="1"/>
  <c r="U445" i="4"/>
  <c r="U444" i="4"/>
  <c r="R443" i="4"/>
  <c r="U443" i="4" s="1"/>
  <c r="O443" i="4"/>
  <c r="O452" i="4" s="1"/>
  <c r="R432" i="4"/>
  <c r="R427" i="4"/>
  <c r="U427" i="4" s="1"/>
  <c r="R422" i="4"/>
  <c r="R417" i="4"/>
  <c r="R438" i="4"/>
  <c r="U438" i="4" s="1"/>
  <c r="U437" i="4"/>
  <c r="R436" i="4"/>
  <c r="U436" i="4" s="1"/>
  <c r="R435" i="4"/>
  <c r="U435" i="4" s="1"/>
  <c r="O435" i="4"/>
  <c r="U434" i="4"/>
  <c r="R433" i="4"/>
  <c r="U433" i="4" s="1"/>
  <c r="U432" i="4"/>
  <c r="O432" i="4"/>
  <c r="R431" i="4"/>
  <c r="U431" i="4" s="1"/>
  <c r="R428" i="4"/>
  <c r="U428" i="4" s="1"/>
  <c r="O427" i="4"/>
  <c r="R425" i="4"/>
  <c r="U425" i="4" s="1"/>
  <c r="U423" i="4"/>
  <c r="R423" i="4"/>
  <c r="O423" i="4"/>
  <c r="U422" i="4"/>
  <c r="O422" i="4"/>
  <c r="U421" i="4"/>
  <c r="AE421" i="4" s="1"/>
  <c r="O421" i="4"/>
  <c r="O440" i="4" s="1"/>
  <c r="O453" i="4" s="1"/>
  <c r="R420" i="4"/>
  <c r="U420" i="4" s="1"/>
  <c r="U418" i="4"/>
  <c r="U417" i="4"/>
  <c r="U415" i="4"/>
  <c r="R414" i="4"/>
  <c r="U414" i="4" s="1"/>
  <c r="R413" i="4"/>
  <c r="U413" i="4" s="1"/>
  <c r="R401" i="4"/>
  <c r="U401" i="4" s="1"/>
  <c r="O401" i="4"/>
  <c r="R399" i="4"/>
  <c r="O399" i="4"/>
  <c r="O397" i="4"/>
  <c r="R397" i="4"/>
  <c r="R394" i="4"/>
  <c r="U394" i="4" s="1"/>
  <c r="O394" i="4"/>
  <c r="R391" i="4"/>
  <c r="U391" i="4" s="1"/>
  <c r="O391" i="4"/>
  <c r="R388" i="4"/>
  <c r="O388" i="4"/>
  <c r="T459" i="4"/>
  <c r="R459" i="4"/>
  <c r="N459" i="4"/>
  <c r="L459" i="4"/>
  <c r="J459" i="4"/>
  <c r="H459" i="4"/>
  <c r="F459" i="4"/>
  <c r="D459" i="4"/>
  <c r="P459" i="4"/>
  <c r="L452" i="4"/>
  <c r="I452" i="4"/>
  <c r="G452" i="4"/>
  <c r="R452" i="4"/>
  <c r="U452" i="4" s="1"/>
  <c r="L440" i="4"/>
  <c r="I440" i="4"/>
  <c r="G440" i="4"/>
  <c r="U403" i="4"/>
  <c r="AE403" i="4" s="1"/>
  <c r="U399" i="4"/>
  <c r="U397" i="4"/>
  <c r="U396" i="4"/>
  <c r="U393" i="4"/>
  <c r="U390" i="4"/>
  <c r="U388" i="4"/>
  <c r="U387" i="4"/>
  <c r="P1429" i="2"/>
  <c r="P1428" i="2"/>
  <c r="R1403" i="2"/>
  <c r="O1403" i="2"/>
  <c r="R1398" i="2"/>
  <c r="R1399" i="2"/>
  <c r="R1394" i="2"/>
  <c r="R1393" i="2"/>
  <c r="O1393" i="2"/>
  <c r="L453" i="4" l="1"/>
  <c r="I453" i="4"/>
  <c r="R440" i="4"/>
  <c r="U440" i="4" l="1"/>
  <c r="R453" i="4"/>
  <c r="R1368" i="2" l="1"/>
  <c r="O1368" i="2"/>
  <c r="R1365" i="2"/>
  <c r="O1365" i="2"/>
  <c r="R1362" i="2"/>
  <c r="O1362" i="2"/>
  <c r="R1359" i="2"/>
  <c r="O1359" i="2"/>
  <c r="T1430" i="2"/>
  <c r="R1430" i="2"/>
  <c r="N1430" i="2"/>
  <c r="L1430" i="2"/>
  <c r="J1430" i="2"/>
  <c r="H1430" i="2"/>
  <c r="F1430" i="2"/>
  <c r="D1430" i="2"/>
  <c r="P1430" i="2"/>
  <c r="L1423" i="2"/>
  <c r="I1423" i="2"/>
  <c r="G1423" i="2"/>
  <c r="R1421" i="2"/>
  <c r="U1421" i="2" s="1"/>
  <c r="O1421" i="2"/>
  <c r="R1420" i="2"/>
  <c r="U1420" i="2" s="1"/>
  <c r="U1419" i="2"/>
  <c r="O1419" i="2"/>
  <c r="U1418" i="2"/>
  <c r="R1417" i="2"/>
  <c r="U1417" i="2" s="1"/>
  <c r="U1416" i="2"/>
  <c r="U1415" i="2"/>
  <c r="R1414" i="2"/>
  <c r="R1423" i="2" s="1"/>
  <c r="U1423" i="2" s="1"/>
  <c r="O1414" i="2"/>
  <c r="L1411" i="2"/>
  <c r="L1424" i="2" s="1"/>
  <c r="I1411" i="2"/>
  <c r="G1411" i="2"/>
  <c r="R1409" i="2"/>
  <c r="U1409" i="2" s="1"/>
  <c r="U1408" i="2"/>
  <c r="R1407" i="2"/>
  <c r="U1407" i="2" s="1"/>
  <c r="R1406" i="2"/>
  <c r="U1406" i="2" s="1"/>
  <c r="O1406" i="2"/>
  <c r="U1405" i="2"/>
  <c r="R1404" i="2"/>
  <c r="U1404" i="2" s="1"/>
  <c r="U1403" i="2"/>
  <c r="R1402" i="2"/>
  <c r="U1402" i="2" s="1"/>
  <c r="U1399" i="2"/>
  <c r="U1398" i="2"/>
  <c r="O1398" i="2"/>
  <c r="R1396" i="2"/>
  <c r="U1396" i="2" s="1"/>
  <c r="U1394" i="2"/>
  <c r="O1394" i="2"/>
  <c r="U1393" i="2"/>
  <c r="U1392" i="2"/>
  <c r="O1392" i="2"/>
  <c r="O1411" i="2" s="1"/>
  <c r="R1391" i="2"/>
  <c r="U1391" i="2" s="1"/>
  <c r="U1389" i="2"/>
  <c r="U1388" i="2"/>
  <c r="U1386" i="2"/>
  <c r="R1385" i="2"/>
  <c r="U1385" i="2" s="1"/>
  <c r="R1384" i="2"/>
  <c r="U1384" i="2" s="1"/>
  <c r="U1374" i="2"/>
  <c r="AA1374" i="2" s="1"/>
  <c r="R1372" i="2"/>
  <c r="U1372" i="2" s="1"/>
  <c r="O1372" i="2"/>
  <c r="R1370" i="2"/>
  <c r="U1370" i="2" s="1"/>
  <c r="O1370" i="2"/>
  <c r="U1368" i="2"/>
  <c r="U1367" i="2"/>
  <c r="U1365" i="2"/>
  <c r="U1364" i="2"/>
  <c r="U1362" i="2"/>
  <c r="U1361" i="2"/>
  <c r="U1359" i="2"/>
  <c r="U1358" i="2"/>
  <c r="O1423" i="2" l="1"/>
  <c r="O1424" i="2" s="1"/>
  <c r="I1424" i="2"/>
  <c r="R1411" i="2"/>
  <c r="U1414" i="2"/>
  <c r="P1302" i="2"/>
  <c r="P1301" i="2"/>
  <c r="U1411" i="2" l="1"/>
  <c r="R1424" i="2"/>
  <c r="O1294" i="2"/>
  <c r="R1282" i="2"/>
  <c r="R1276" i="2"/>
  <c r="R1272" i="2"/>
  <c r="R1271" i="2"/>
  <c r="R1267" i="2"/>
  <c r="O1267" i="2"/>
  <c r="R1263" i="2"/>
  <c r="R1124" i="2" l="1"/>
  <c r="R880" i="2"/>
  <c r="R759" i="2"/>
  <c r="R641" i="2"/>
  <c r="R1247" i="2"/>
  <c r="O1247" i="2"/>
  <c r="R1245" i="2"/>
  <c r="O1245" i="2"/>
  <c r="R1243" i="2"/>
  <c r="U1243" i="2" s="1"/>
  <c r="O1243" i="2"/>
  <c r="R1240" i="2"/>
  <c r="O1240" i="2"/>
  <c r="R1237" i="2"/>
  <c r="U1237" i="2" s="1"/>
  <c r="O1237" i="2"/>
  <c r="R1234" i="2"/>
  <c r="U1234" i="2" s="1"/>
  <c r="O1234" i="2"/>
  <c r="T1303" i="2"/>
  <c r="R1303" i="2"/>
  <c r="N1303" i="2"/>
  <c r="L1303" i="2"/>
  <c r="J1303" i="2"/>
  <c r="H1303" i="2"/>
  <c r="F1303" i="2"/>
  <c r="D1303" i="2"/>
  <c r="P1303" i="2"/>
  <c r="L1296" i="2"/>
  <c r="I1296" i="2"/>
  <c r="G1296" i="2"/>
  <c r="R1294" i="2"/>
  <c r="U1294" i="2" s="1"/>
  <c r="R1293" i="2"/>
  <c r="U1293" i="2" s="1"/>
  <c r="U1292" i="2"/>
  <c r="O1292" i="2"/>
  <c r="U1291" i="2"/>
  <c r="R1290" i="2"/>
  <c r="U1290" i="2" s="1"/>
  <c r="U1289" i="2"/>
  <c r="U1288" i="2"/>
  <c r="R1287" i="2"/>
  <c r="R1296" i="2" s="1"/>
  <c r="U1296" i="2" s="1"/>
  <c r="O1287" i="2"/>
  <c r="O1296" i="2" s="1"/>
  <c r="L1284" i="2"/>
  <c r="I1284" i="2"/>
  <c r="I1297" i="2" s="1"/>
  <c r="G1284" i="2"/>
  <c r="U1282" i="2"/>
  <c r="U1281" i="2"/>
  <c r="R1280" i="2"/>
  <c r="U1280" i="2" s="1"/>
  <c r="R1279" i="2"/>
  <c r="U1279" i="2" s="1"/>
  <c r="O1279" i="2"/>
  <c r="U1278" i="2"/>
  <c r="R1277" i="2"/>
  <c r="U1277" i="2" s="1"/>
  <c r="U1276" i="2"/>
  <c r="R1275" i="2"/>
  <c r="U1275" i="2" s="1"/>
  <c r="U1272" i="2"/>
  <c r="U1271" i="2"/>
  <c r="O1271" i="2"/>
  <c r="R1269" i="2"/>
  <c r="U1269" i="2" s="1"/>
  <c r="R1268" i="2"/>
  <c r="U1268" i="2" s="1"/>
  <c r="O1268" i="2"/>
  <c r="U1267" i="2"/>
  <c r="U1266" i="2"/>
  <c r="O1266" i="2"/>
  <c r="R1265" i="2"/>
  <c r="U1265" i="2" s="1"/>
  <c r="U1264" i="2"/>
  <c r="U1263" i="2"/>
  <c r="U1261" i="2"/>
  <c r="R1260" i="2"/>
  <c r="U1260" i="2" s="1"/>
  <c r="R1259" i="2"/>
  <c r="U1259" i="2" s="1"/>
  <c r="O1259" i="2"/>
  <c r="U1249" i="2"/>
  <c r="AA1249" i="2" s="1"/>
  <c r="U1247" i="2"/>
  <c r="U1245" i="2"/>
  <c r="U1242" i="2"/>
  <c r="U1240" i="2"/>
  <c r="U1239" i="2"/>
  <c r="U1236" i="2"/>
  <c r="U1233" i="2"/>
  <c r="U1287" i="2" l="1"/>
  <c r="O1284" i="2"/>
  <c r="O1297" i="2" s="1"/>
  <c r="L1297" i="2"/>
  <c r="R1284" i="2"/>
  <c r="R1140" i="2"/>
  <c r="O1140" i="2"/>
  <c r="R1138" i="2"/>
  <c r="U1138" i="2" s="1"/>
  <c r="O1138" i="2"/>
  <c r="O661" i="2"/>
  <c r="O280" i="4"/>
  <c r="O1004" i="2"/>
  <c r="R278" i="4"/>
  <c r="R1002" i="2"/>
  <c r="R158" i="4"/>
  <c r="R639" i="2"/>
  <c r="R294" i="4"/>
  <c r="O294" i="4"/>
  <c r="U292" i="4"/>
  <c r="O991" i="2"/>
  <c r="R1018" i="2"/>
  <c r="O1018" i="2"/>
  <c r="U1016" i="2"/>
  <c r="R896" i="2"/>
  <c r="U896" i="2" s="1"/>
  <c r="O896" i="2"/>
  <c r="U894" i="2"/>
  <c r="R775" i="2"/>
  <c r="O775" i="2"/>
  <c r="U773" i="2"/>
  <c r="U1284" i="2" l="1"/>
  <c r="R1297" i="2"/>
  <c r="R174" i="4"/>
  <c r="O174" i="4"/>
  <c r="U172" i="4"/>
  <c r="R655" i="2"/>
  <c r="O655" i="2"/>
  <c r="U653" i="2"/>
  <c r="R534" i="2"/>
  <c r="O534" i="2"/>
  <c r="U535" i="2" l="1"/>
  <c r="U534" i="2"/>
  <c r="U533" i="2"/>
  <c r="U532" i="2"/>
  <c r="O414" i="2"/>
  <c r="U415" i="2"/>
  <c r="U414" i="2"/>
  <c r="U413" i="2"/>
  <c r="U412" i="2"/>
  <c r="U56" i="4"/>
  <c r="U55" i="4"/>
  <c r="O55" i="4"/>
  <c r="U54" i="4"/>
  <c r="U53" i="4"/>
  <c r="O294" i="2"/>
  <c r="U295" i="2"/>
  <c r="U294" i="2"/>
  <c r="U293" i="2"/>
  <c r="U292" i="2"/>
  <c r="P207" i="2"/>
  <c r="O172" i="2"/>
  <c r="U169" i="2"/>
  <c r="U48" i="2"/>
  <c r="U173" i="2"/>
  <c r="U172" i="2"/>
  <c r="U171" i="2"/>
  <c r="U170" i="2"/>
  <c r="U52" i="2"/>
  <c r="U51" i="2"/>
  <c r="U291" i="2" l="1"/>
  <c r="O267" i="4" l="1"/>
  <c r="P1176" i="2"/>
  <c r="P1175" i="2"/>
  <c r="R1150" i="2"/>
  <c r="R1168" i="2"/>
  <c r="R1167" i="2"/>
  <c r="R1161" i="2"/>
  <c r="R1156" i="2"/>
  <c r="R1148" i="2"/>
  <c r="R1145" i="2"/>
  <c r="R1144" i="2"/>
  <c r="R1146" i="2"/>
  <c r="R1149" i="2"/>
  <c r="R1142" i="2"/>
  <c r="R1137" i="2"/>
  <c r="O1137" i="2"/>
  <c r="O1150" i="2"/>
  <c r="R1126" i="2" l="1"/>
  <c r="O1126" i="2"/>
  <c r="U1124" i="2"/>
  <c r="O1124" i="2"/>
  <c r="R1122" i="2"/>
  <c r="U1122" i="2" s="1"/>
  <c r="O1122" i="2"/>
  <c r="R1119" i="2"/>
  <c r="U1119" i="2" s="1"/>
  <c r="O1119" i="2"/>
  <c r="R1116" i="2"/>
  <c r="O1116" i="2"/>
  <c r="U1116" i="2"/>
  <c r="R1113" i="2"/>
  <c r="U1113" i="2" s="1"/>
  <c r="O1113" i="2"/>
  <c r="T1177" i="2"/>
  <c r="R1177" i="2"/>
  <c r="N1177" i="2"/>
  <c r="L1177" i="2"/>
  <c r="J1177" i="2"/>
  <c r="H1177" i="2"/>
  <c r="F1177" i="2"/>
  <c r="D1177" i="2"/>
  <c r="P1177" i="2"/>
  <c r="L1170" i="2"/>
  <c r="I1170" i="2"/>
  <c r="G1170" i="2"/>
  <c r="U1168" i="2"/>
  <c r="O1168" i="2"/>
  <c r="U1167" i="2"/>
  <c r="U1166" i="2"/>
  <c r="O1166" i="2"/>
  <c r="U1165" i="2"/>
  <c r="R1164" i="2"/>
  <c r="U1164" i="2" s="1"/>
  <c r="U1163" i="2"/>
  <c r="U1162" i="2"/>
  <c r="U1161" i="2"/>
  <c r="O1161" i="2"/>
  <c r="L1158" i="2"/>
  <c r="I1158" i="2"/>
  <c r="G1158" i="2"/>
  <c r="U1156" i="2"/>
  <c r="O1156" i="2"/>
  <c r="U1155" i="2"/>
  <c r="R1154" i="2"/>
  <c r="U1154" i="2" s="1"/>
  <c r="R1153" i="2"/>
  <c r="U1153" i="2" s="1"/>
  <c r="O1153" i="2"/>
  <c r="U1152" i="2"/>
  <c r="R1151" i="2"/>
  <c r="U1151" i="2" s="1"/>
  <c r="U1150" i="2"/>
  <c r="U1149" i="2"/>
  <c r="O1149" i="2"/>
  <c r="U1148" i="2"/>
  <c r="O1148" i="2"/>
  <c r="R1147" i="2"/>
  <c r="U1147" i="2" s="1"/>
  <c r="O1147" i="2"/>
  <c r="U1146" i="2"/>
  <c r="O1146" i="2"/>
  <c r="U1145" i="2"/>
  <c r="O1145" i="2"/>
  <c r="U1144" i="2"/>
  <c r="O1144" i="2"/>
  <c r="U1143" i="2"/>
  <c r="O1143" i="2"/>
  <c r="U1142" i="2"/>
  <c r="O1142" i="2"/>
  <c r="U1141" i="2"/>
  <c r="U1140" i="2"/>
  <c r="U1139" i="2"/>
  <c r="U1137" i="2"/>
  <c r="U1136" i="2"/>
  <c r="U1128" i="2"/>
  <c r="U1126" i="2"/>
  <c r="U1121" i="2"/>
  <c r="U1118" i="2"/>
  <c r="U1115" i="2"/>
  <c r="U1112" i="2"/>
  <c r="R1170" i="2" l="1"/>
  <c r="O1158" i="2"/>
  <c r="I1171" i="2"/>
  <c r="U1170" i="2"/>
  <c r="O1170" i="2"/>
  <c r="L1171" i="2"/>
  <c r="R1158" i="2"/>
  <c r="T331" i="4"/>
  <c r="R331" i="4"/>
  <c r="N331" i="4"/>
  <c r="L331" i="4"/>
  <c r="J331" i="4"/>
  <c r="H331" i="4"/>
  <c r="F331" i="4"/>
  <c r="D331" i="4"/>
  <c r="P330" i="4"/>
  <c r="P329" i="4"/>
  <c r="L324" i="4"/>
  <c r="I324" i="4"/>
  <c r="G324" i="4"/>
  <c r="R322" i="4"/>
  <c r="U322" i="4" s="1"/>
  <c r="O322" i="4"/>
  <c r="R321" i="4"/>
  <c r="U321" i="4" s="1"/>
  <c r="U320" i="4"/>
  <c r="O320" i="4"/>
  <c r="U319" i="4"/>
  <c r="R318" i="4"/>
  <c r="U318" i="4" s="1"/>
  <c r="U317" i="4"/>
  <c r="U316" i="4"/>
  <c r="R315" i="4"/>
  <c r="U315" i="4" s="1"/>
  <c r="O315" i="4"/>
  <c r="O324" i="4" s="1"/>
  <c r="L312" i="4"/>
  <c r="I312" i="4"/>
  <c r="G312" i="4"/>
  <c r="R310" i="4"/>
  <c r="U310" i="4" s="1"/>
  <c r="O310" i="4"/>
  <c r="R309" i="4"/>
  <c r="U309" i="4" s="1"/>
  <c r="R308" i="4"/>
  <c r="U308" i="4" s="1"/>
  <c r="R307" i="4"/>
  <c r="U307" i="4" s="1"/>
  <c r="O307" i="4"/>
  <c r="U306" i="4"/>
  <c r="R305" i="4"/>
  <c r="U305" i="4" s="1"/>
  <c r="R304" i="4"/>
  <c r="U304" i="4" s="1"/>
  <c r="O304" i="4"/>
  <c r="R303" i="4"/>
  <c r="U303" i="4" s="1"/>
  <c r="O303" i="4"/>
  <c r="R302" i="4"/>
  <c r="U302" i="4" s="1"/>
  <c r="O302" i="4"/>
  <c r="U301" i="4"/>
  <c r="R301" i="4"/>
  <c r="O301" i="4"/>
  <c r="R300" i="4"/>
  <c r="U300" i="4" s="1"/>
  <c r="O300" i="4"/>
  <c r="R299" i="4"/>
  <c r="U299" i="4" s="1"/>
  <c r="O299" i="4"/>
  <c r="R298" i="4"/>
  <c r="U298" i="4" s="1"/>
  <c r="O298" i="4"/>
  <c r="U297" i="4"/>
  <c r="O297" i="4"/>
  <c r="U296" i="4"/>
  <c r="R296" i="4"/>
  <c r="O296" i="4"/>
  <c r="U295" i="4"/>
  <c r="U294" i="4"/>
  <c r="U293" i="4"/>
  <c r="R291" i="4"/>
  <c r="O291" i="4"/>
  <c r="U290" i="4"/>
  <c r="U282" i="4"/>
  <c r="R280" i="4"/>
  <c r="U280" i="4" s="1"/>
  <c r="U278" i="4"/>
  <c r="O278" i="4"/>
  <c r="R276" i="4"/>
  <c r="U276" i="4" s="1"/>
  <c r="O276" i="4"/>
  <c r="U275" i="4"/>
  <c r="R273" i="4"/>
  <c r="U273" i="4" s="1"/>
  <c r="O273" i="4"/>
  <c r="U272" i="4"/>
  <c r="R270" i="4"/>
  <c r="U270" i="4" s="1"/>
  <c r="O270" i="4"/>
  <c r="U269" i="4"/>
  <c r="R267" i="4"/>
  <c r="U267" i="4" s="1"/>
  <c r="U266" i="4"/>
  <c r="O312" i="4" l="1"/>
  <c r="O325" i="4" s="1"/>
  <c r="R312" i="4"/>
  <c r="P331" i="4"/>
  <c r="L325" i="4"/>
  <c r="I325" i="4"/>
  <c r="O1171" i="2"/>
  <c r="U1158" i="2"/>
  <c r="R1171" i="2"/>
  <c r="U312" i="4"/>
  <c r="R324" i="4"/>
  <c r="U324" i="4" s="1"/>
  <c r="U291" i="4"/>
  <c r="P1054" i="2"/>
  <c r="P1053" i="2"/>
  <c r="O1046" i="2"/>
  <c r="R1045" i="2"/>
  <c r="U1045" i="2" s="1"/>
  <c r="R1039" i="2"/>
  <c r="U1039" i="2" s="1"/>
  <c r="O1039" i="2"/>
  <c r="R1034" i="2"/>
  <c r="U1034" i="2" s="1"/>
  <c r="O1034" i="2"/>
  <c r="R1028" i="2"/>
  <c r="U1028" i="2" s="1"/>
  <c r="O1028" i="2"/>
  <c r="R1026" i="2"/>
  <c r="U1026" i="2" s="1"/>
  <c r="R1025" i="2"/>
  <c r="U1025" i="2" s="1"/>
  <c r="O1025" i="2"/>
  <c r="O1023" i="2"/>
  <c r="R1022" i="2"/>
  <c r="U1022" i="2" s="1"/>
  <c r="O1022" i="2"/>
  <c r="U1017" i="2"/>
  <c r="R1004" i="2"/>
  <c r="U1004" i="2" s="1"/>
  <c r="U1002" i="2"/>
  <c r="O1002" i="2"/>
  <c r="R1000" i="2"/>
  <c r="U1000" i="2" s="1"/>
  <c r="O1000" i="2"/>
  <c r="R997" i="2"/>
  <c r="U997" i="2" s="1"/>
  <c r="O997" i="2"/>
  <c r="R994" i="2"/>
  <c r="U994" i="2" s="1"/>
  <c r="O994" i="2"/>
  <c r="R991" i="2"/>
  <c r="U991" i="2" s="1"/>
  <c r="T1055" i="2"/>
  <c r="R1055" i="2"/>
  <c r="N1055" i="2"/>
  <c r="L1055" i="2"/>
  <c r="J1055" i="2"/>
  <c r="H1055" i="2"/>
  <c r="F1055" i="2"/>
  <c r="D1055" i="2"/>
  <c r="L1048" i="2"/>
  <c r="I1048" i="2"/>
  <c r="G1048" i="2"/>
  <c r="R1046" i="2"/>
  <c r="U1046" i="2" s="1"/>
  <c r="U1044" i="2"/>
  <c r="O1044" i="2"/>
  <c r="U1043" i="2"/>
  <c r="R1042" i="2"/>
  <c r="U1042" i="2" s="1"/>
  <c r="U1041" i="2"/>
  <c r="U1040" i="2"/>
  <c r="L1036" i="2"/>
  <c r="I1036" i="2"/>
  <c r="G1036" i="2"/>
  <c r="R1033" i="2"/>
  <c r="U1033" i="2" s="1"/>
  <c r="R1032" i="2"/>
  <c r="U1032" i="2" s="1"/>
  <c r="R1031" i="2"/>
  <c r="U1031" i="2" s="1"/>
  <c r="O1031" i="2"/>
  <c r="U1030" i="2"/>
  <c r="R1029" i="2"/>
  <c r="U1029" i="2" s="1"/>
  <c r="R1027" i="2"/>
  <c r="U1027" i="2" s="1"/>
  <c r="O1027" i="2"/>
  <c r="O1026" i="2"/>
  <c r="R1024" i="2"/>
  <c r="U1024" i="2" s="1"/>
  <c r="R1023" i="2"/>
  <c r="U1023" i="2" s="1"/>
  <c r="U1021" i="2"/>
  <c r="O1021" i="2"/>
  <c r="R1020" i="2"/>
  <c r="U1020" i="2" s="1"/>
  <c r="O1020" i="2"/>
  <c r="U1019" i="2"/>
  <c r="U1018" i="2"/>
  <c r="R1015" i="2"/>
  <c r="O1015" i="2"/>
  <c r="U1014" i="2"/>
  <c r="U1006" i="2"/>
  <c r="U999" i="2"/>
  <c r="U996" i="2"/>
  <c r="U993" i="2"/>
  <c r="U990" i="2"/>
  <c r="O1036" i="2" l="1"/>
  <c r="P1055" i="2"/>
  <c r="R1036" i="2"/>
  <c r="U1036" i="2" s="1"/>
  <c r="L1049" i="2"/>
  <c r="I1049" i="2"/>
  <c r="R325" i="4"/>
  <c r="O1048" i="2"/>
  <c r="O1049" i="2" s="1"/>
  <c r="R1048" i="2"/>
  <c r="U1048" i="2" s="1"/>
  <c r="U1015" i="2"/>
  <c r="R882" i="2"/>
  <c r="O882" i="2"/>
  <c r="O880" i="2"/>
  <c r="R878" i="2"/>
  <c r="O878" i="2"/>
  <c r="R875" i="2"/>
  <c r="O875" i="2"/>
  <c r="R872" i="2"/>
  <c r="O872" i="2"/>
  <c r="R869" i="2"/>
  <c r="O869" i="2"/>
  <c r="R1049" i="2" l="1"/>
  <c r="P932" i="2"/>
  <c r="P931" i="2"/>
  <c r="O922" i="2"/>
  <c r="O912" i="2"/>
  <c r="O904" i="2"/>
  <c r="O803" i="2" l="1"/>
  <c r="R924" i="2" l="1"/>
  <c r="O924" i="2"/>
  <c r="R917" i="2"/>
  <c r="R910" i="2"/>
  <c r="R906" i="2"/>
  <c r="O906" i="2"/>
  <c r="R901" i="2"/>
  <c r="R900" i="2"/>
  <c r="O899" i="2"/>
  <c r="T933" i="2" l="1"/>
  <c r="R933" i="2"/>
  <c r="N933" i="2"/>
  <c r="L933" i="2"/>
  <c r="J933" i="2"/>
  <c r="H933" i="2"/>
  <c r="F933" i="2"/>
  <c r="D933" i="2"/>
  <c r="P933" i="2"/>
  <c r="O926" i="2"/>
  <c r="L926" i="2"/>
  <c r="I926" i="2"/>
  <c r="G926" i="2"/>
  <c r="U924" i="2"/>
  <c r="U923" i="2"/>
  <c r="U922" i="2"/>
  <c r="U921" i="2"/>
  <c r="R920" i="2"/>
  <c r="R926" i="2" s="1"/>
  <c r="U919" i="2"/>
  <c r="U918" i="2"/>
  <c r="U917" i="2"/>
  <c r="L914" i="2"/>
  <c r="I914" i="2"/>
  <c r="G914" i="2"/>
  <c r="U912" i="2"/>
  <c r="R911" i="2"/>
  <c r="U911" i="2" s="1"/>
  <c r="U910" i="2"/>
  <c r="R909" i="2"/>
  <c r="U909" i="2" s="1"/>
  <c r="O909" i="2"/>
  <c r="U908" i="2"/>
  <c r="R907" i="2"/>
  <c r="U907" i="2" s="1"/>
  <c r="U906" i="2"/>
  <c r="R905" i="2"/>
  <c r="U905" i="2" s="1"/>
  <c r="O905" i="2"/>
  <c r="U904" i="2"/>
  <c r="R903" i="2"/>
  <c r="U903" i="2" s="1"/>
  <c r="O903" i="2"/>
  <c r="R902" i="2"/>
  <c r="U902" i="2" s="1"/>
  <c r="U901" i="2"/>
  <c r="O901" i="2"/>
  <c r="U900" i="2"/>
  <c r="O900" i="2"/>
  <c r="U899" i="2"/>
  <c r="R898" i="2"/>
  <c r="O898" i="2"/>
  <c r="U897" i="2"/>
  <c r="U895" i="2"/>
  <c r="R893" i="2"/>
  <c r="U893" i="2" s="1"/>
  <c r="O893" i="2"/>
  <c r="U892" i="2"/>
  <c r="U884" i="2"/>
  <c r="U882" i="2"/>
  <c r="U880" i="2"/>
  <c r="U878" i="2"/>
  <c r="U877" i="2"/>
  <c r="U875" i="2"/>
  <c r="U874" i="2"/>
  <c r="U872" i="2"/>
  <c r="U871" i="2"/>
  <c r="U869" i="2"/>
  <c r="U868" i="2"/>
  <c r="U926" i="2" l="1"/>
  <c r="O914" i="2"/>
  <c r="O927" i="2" s="1"/>
  <c r="R914" i="2"/>
  <c r="R927" i="2" s="1"/>
  <c r="I927" i="2"/>
  <c r="L927" i="2"/>
  <c r="U898" i="2"/>
  <c r="U920" i="2"/>
  <c r="P811" i="2"/>
  <c r="P810" i="2"/>
  <c r="R785" i="2"/>
  <c r="O785" i="2"/>
  <c r="O782" i="2"/>
  <c r="R780" i="2"/>
  <c r="O780" i="2"/>
  <c r="R779" i="2"/>
  <c r="O779" i="2"/>
  <c r="R772" i="2"/>
  <c r="O772" i="2"/>
  <c r="U914" i="2" l="1"/>
  <c r="R761" i="2"/>
  <c r="U761" i="2" s="1"/>
  <c r="O761" i="2"/>
  <c r="U759" i="2"/>
  <c r="O759" i="2"/>
  <c r="R757" i="2"/>
  <c r="U757" i="2" s="1"/>
  <c r="O757" i="2"/>
  <c r="R754" i="2"/>
  <c r="U754" i="2" s="1"/>
  <c r="O754" i="2"/>
  <c r="R751" i="2"/>
  <c r="U751" i="2" s="1"/>
  <c r="O751" i="2"/>
  <c r="R748" i="2"/>
  <c r="U748" i="2" s="1"/>
  <c r="O748" i="2"/>
  <c r="T812" i="2"/>
  <c r="R812" i="2"/>
  <c r="N812" i="2"/>
  <c r="L812" i="2"/>
  <c r="J812" i="2"/>
  <c r="H812" i="2"/>
  <c r="F812" i="2"/>
  <c r="D812" i="2"/>
  <c r="P812" i="2"/>
  <c r="O805" i="2"/>
  <c r="L805" i="2"/>
  <c r="I805" i="2"/>
  <c r="G805" i="2"/>
  <c r="U803" i="2"/>
  <c r="U802" i="2"/>
  <c r="U801" i="2"/>
  <c r="U800" i="2"/>
  <c r="R799" i="2"/>
  <c r="R805" i="2" s="1"/>
  <c r="U798" i="2"/>
  <c r="U797" i="2"/>
  <c r="U796" i="2"/>
  <c r="L793" i="2"/>
  <c r="I793" i="2"/>
  <c r="G793" i="2"/>
  <c r="U791" i="2"/>
  <c r="O791" i="2"/>
  <c r="R790" i="2"/>
  <c r="U790" i="2" s="1"/>
  <c r="R789" i="2"/>
  <c r="U789" i="2" s="1"/>
  <c r="R788" i="2"/>
  <c r="U788" i="2" s="1"/>
  <c r="O788" i="2"/>
  <c r="U787" i="2"/>
  <c r="R786" i="2"/>
  <c r="U786" i="2" s="1"/>
  <c r="U785" i="2"/>
  <c r="R784" i="2"/>
  <c r="U784" i="2" s="1"/>
  <c r="O784" i="2"/>
  <c r="U783" i="2"/>
  <c r="O783" i="2"/>
  <c r="R782" i="2"/>
  <c r="U782" i="2" s="1"/>
  <c r="R781" i="2"/>
  <c r="U781" i="2" s="1"/>
  <c r="U780" i="2"/>
  <c r="U779" i="2"/>
  <c r="U778" i="2"/>
  <c r="O778" i="2"/>
  <c r="R777" i="2"/>
  <c r="U777" i="2" s="1"/>
  <c r="O777" i="2"/>
  <c r="U776" i="2"/>
  <c r="U775" i="2"/>
  <c r="U774" i="2"/>
  <c r="U772" i="2"/>
  <c r="U771" i="2"/>
  <c r="U763" i="2"/>
  <c r="U756" i="2"/>
  <c r="U753" i="2"/>
  <c r="U750" i="2"/>
  <c r="U747" i="2"/>
  <c r="L806" i="2" l="1"/>
  <c r="U805" i="2"/>
  <c r="O793" i="2"/>
  <c r="O806" i="2" s="1"/>
  <c r="I806" i="2"/>
  <c r="U799" i="2"/>
  <c r="R793" i="2"/>
  <c r="T211" i="4"/>
  <c r="R211" i="4"/>
  <c r="N211" i="4"/>
  <c r="L211" i="4"/>
  <c r="J211" i="4"/>
  <c r="H211" i="4"/>
  <c r="F211" i="4"/>
  <c r="D211" i="4"/>
  <c r="P210" i="4"/>
  <c r="P209" i="4"/>
  <c r="P211" i="4" s="1"/>
  <c r="O204" i="4"/>
  <c r="L204" i="4"/>
  <c r="I204" i="4"/>
  <c r="G204" i="4"/>
  <c r="U202" i="4"/>
  <c r="U201" i="4"/>
  <c r="U200" i="4"/>
  <c r="U199" i="4"/>
  <c r="R198" i="4"/>
  <c r="R204" i="4" s="1"/>
  <c r="U197" i="4"/>
  <c r="U196" i="4"/>
  <c r="U195" i="4"/>
  <c r="L192" i="4"/>
  <c r="I192" i="4"/>
  <c r="G192" i="4"/>
  <c r="U190" i="4"/>
  <c r="O190" i="4"/>
  <c r="R189" i="4"/>
  <c r="U189" i="4" s="1"/>
  <c r="R188" i="4"/>
  <c r="U188" i="4" s="1"/>
  <c r="R187" i="4"/>
  <c r="U187" i="4" s="1"/>
  <c r="O187" i="4"/>
  <c r="U186" i="4"/>
  <c r="R185" i="4"/>
  <c r="U185" i="4" s="1"/>
  <c r="R184" i="4"/>
  <c r="U184" i="4" s="1"/>
  <c r="O184" i="4"/>
  <c r="R183" i="4"/>
  <c r="U183" i="4" s="1"/>
  <c r="O183" i="4"/>
  <c r="U182" i="4"/>
  <c r="O182" i="4"/>
  <c r="R181" i="4"/>
  <c r="U181" i="4" s="1"/>
  <c r="O181" i="4"/>
  <c r="R180" i="4"/>
  <c r="U180" i="4" s="1"/>
  <c r="O180" i="4"/>
  <c r="U179" i="4"/>
  <c r="R178" i="4"/>
  <c r="U178" i="4" s="1"/>
  <c r="O178" i="4"/>
  <c r="U177" i="4"/>
  <c r="O177" i="4"/>
  <c r="R176" i="4"/>
  <c r="U176" i="4" s="1"/>
  <c r="U175" i="4"/>
  <c r="U174" i="4"/>
  <c r="U173" i="4"/>
  <c r="U171" i="4"/>
  <c r="U170" i="4"/>
  <c r="U162" i="4"/>
  <c r="R160" i="4"/>
  <c r="U160" i="4" s="1"/>
  <c r="O160" i="4"/>
  <c r="U158" i="4"/>
  <c r="O158" i="4"/>
  <c r="R156" i="4"/>
  <c r="U156" i="4" s="1"/>
  <c r="O156" i="4"/>
  <c r="U155" i="4"/>
  <c r="R153" i="4"/>
  <c r="U153" i="4" s="1"/>
  <c r="O153" i="4"/>
  <c r="U152" i="4"/>
  <c r="R150" i="4"/>
  <c r="U150" i="4" s="1"/>
  <c r="O150" i="4"/>
  <c r="U149" i="4"/>
  <c r="R147" i="4"/>
  <c r="U147" i="4" s="1"/>
  <c r="O147" i="4"/>
  <c r="U146" i="4"/>
  <c r="P691" i="2"/>
  <c r="P690" i="2"/>
  <c r="R679" i="2"/>
  <c r="U679" i="2" s="1"/>
  <c r="O671" i="2"/>
  <c r="R668" i="2"/>
  <c r="U668" i="2" s="1"/>
  <c r="O668" i="2"/>
  <c r="R665" i="2"/>
  <c r="U665" i="2" s="1"/>
  <c r="O665" i="2"/>
  <c r="O663" i="2"/>
  <c r="O658" i="2"/>
  <c r="O641" i="2"/>
  <c r="U639" i="2"/>
  <c r="O639" i="2"/>
  <c r="R637" i="2"/>
  <c r="U637" i="2" s="1"/>
  <c r="O637" i="2"/>
  <c r="R634" i="2"/>
  <c r="U634" i="2" s="1"/>
  <c r="O634" i="2"/>
  <c r="R631" i="2"/>
  <c r="U631" i="2" s="1"/>
  <c r="O631" i="2"/>
  <c r="R628" i="2"/>
  <c r="U628" i="2" s="1"/>
  <c r="O628" i="2"/>
  <c r="T692" i="2"/>
  <c r="R692" i="2"/>
  <c r="N692" i="2"/>
  <c r="L692" i="2"/>
  <c r="J692" i="2"/>
  <c r="H692" i="2"/>
  <c r="F692" i="2"/>
  <c r="D692" i="2"/>
  <c r="O685" i="2"/>
  <c r="L685" i="2"/>
  <c r="I685" i="2"/>
  <c r="G685" i="2"/>
  <c r="U683" i="2"/>
  <c r="U682" i="2"/>
  <c r="U681" i="2"/>
  <c r="U680" i="2"/>
  <c r="U678" i="2"/>
  <c r="U677" i="2"/>
  <c r="U676" i="2"/>
  <c r="L673" i="2"/>
  <c r="I673" i="2"/>
  <c r="G673" i="2"/>
  <c r="U671" i="2"/>
  <c r="R670" i="2"/>
  <c r="U670" i="2" s="1"/>
  <c r="R669" i="2"/>
  <c r="U669" i="2" s="1"/>
  <c r="U667" i="2"/>
  <c r="R666" i="2"/>
  <c r="U666" i="2" s="1"/>
  <c r="R664" i="2"/>
  <c r="U664" i="2" s="1"/>
  <c r="O664" i="2"/>
  <c r="U663" i="2"/>
  <c r="R662" i="2"/>
  <c r="U662" i="2" s="1"/>
  <c r="O662" i="2"/>
  <c r="R661" i="2"/>
  <c r="U661" i="2" s="1"/>
  <c r="U660" i="2"/>
  <c r="R659" i="2"/>
  <c r="U659" i="2" s="1"/>
  <c r="O659" i="2"/>
  <c r="U658" i="2"/>
  <c r="R657" i="2"/>
  <c r="U657" i="2" s="1"/>
  <c r="O657" i="2"/>
  <c r="U656" i="2"/>
  <c r="U655" i="2"/>
  <c r="U652" i="2"/>
  <c r="U651" i="2"/>
  <c r="U643" i="2"/>
  <c r="U641" i="2"/>
  <c r="U636" i="2"/>
  <c r="U633" i="2"/>
  <c r="U630" i="2"/>
  <c r="U627" i="2"/>
  <c r="R685" i="2" l="1"/>
  <c r="U685" i="2" s="1"/>
  <c r="L205" i="4"/>
  <c r="P692" i="2"/>
  <c r="L686" i="2"/>
  <c r="I686" i="2"/>
  <c r="R673" i="2"/>
  <c r="O192" i="4"/>
  <c r="O205" i="4" s="1"/>
  <c r="I205" i="4"/>
  <c r="U204" i="4"/>
  <c r="U793" i="2"/>
  <c r="R806" i="2"/>
  <c r="U198" i="4"/>
  <c r="R192" i="4"/>
  <c r="O673" i="2"/>
  <c r="O686" i="2" s="1"/>
  <c r="U654" i="2"/>
  <c r="U673" i="2" l="1"/>
  <c r="R686" i="2"/>
  <c r="U192" i="4"/>
  <c r="R205" i="4"/>
  <c r="R516" i="2" l="1"/>
  <c r="O516" i="2"/>
  <c r="R513" i="2"/>
  <c r="O513" i="2"/>
  <c r="R510" i="2"/>
  <c r="O510" i="2"/>
  <c r="R507" i="2"/>
  <c r="O507" i="2"/>
  <c r="R396" i="2"/>
  <c r="O396" i="2"/>
  <c r="R393" i="2"/>
  <c r="O393" i="2"/>
  <c r="R390" i="2"/>
  <c r="O390" i="2"/>
  <c r="R387" i="2"/>
  <c r="O387" i="2"/>
  <c r="P570" i="2" l="1"/>
  <c r="P569" i="2"/>
  <c r="R545" i="2"/>
  <c r="R544" i="2"/>
  <c r="O544" i="2"/>
  <c r="O543" i="2"/>
  <c r="O541" i="2"/>
  <c r="O540" i="2"/>
  <c r="O538" i="2"/>
  <c r="O536" i="2"/>
  <c r="T571" i="2" l="1"/>
  <c r="R571" i="2"/>
  <c r="N571" i="2"/>
  <c r="L571" i="2"/>
  <c r="J571" i="2"/>
  <c r="H571" i="2"/>
  <c r="F571" i="2"/>
  <c r="D571" i="2"/>
  <c r="P571" i="2"/>
  <c r="R564" i="2"/>
  <c r="O564" i="2"/>
  <c r="L564" i="2"/>
  <c r="I564" i="2"/>
  <c r="G564" i="2"/>
  <c r="U562" i="2"/>
  <c r="U561" i="2"/>
  <c r="U560" i="2"/>
  <c r="U559" i="2"/>
  <c r="U558" i="2"/>
  <c r="U557" i="2"/>
  <c r="U556" i="2"/>
  <c r="U555" i="2"/>
  <c r="L552" i="2"/>
  <c r="I552" i="2"/>
  <c r="G552" i="2"/>
  <c r="U550" i="2"/>
  <c r="R549" i="2"/>
  <c r="U549" i="2" s="1"/>
  <c r="R548" i="2"/>
  <c r="U548" i="2" s="1"/>
  <c r="U547" i="2"/>
  <c r="U546" i="2"/>
  <c r="U545" i="2"/>
  <c r="U544" i="2"/>
  <c r="R543" i="2"/>
  <c r="U543" i="2" s="1"/>
  <c r="U542" i="2"/>
  <c r="R541" i="2"/>
  <c r="U541" i="2" s="1"/>
  <c r="R540" i="2"/>
  <c r="U540" i="2" s="1"/>
  <c r="U539" i="2"/>
  <c r="R538" i="2"/>
  <c r="U538" i="2" s="1"/>
  <c r="U537" i="2"/>
  <c r="R536" i="2"/>
  <c r="U536" i="2" s="1"/>
  <c r="O552" i="2"/>
  <c r="U531" i="2"/>
  <c r="U530" i="2"/>
  <c r="U522" i="2"/>
  <c r="U520" i="2"/>
  <c r="U518" i="2"/>
  <c r="U516" i="2"/>
  <c r="U515" i="2"/>
  <c r="U513" i="2"/>
  <c r="U512" i="2"/>
  <c r="U510" i="2"/>
  <c r="U509" i="2"/>
  <c r="U507" i="2"/>
  <c r="U506" i="2"/>
  <c r="P450" i="2"/>
  <c r="R429" i="2"/>
  <c r="R428" i="2"/>
  <c r="R423" i="2"/>
  <c r="R421" i="2"/>
  <c r="R420" i="2"/>
  <c r="R418" i="2"/>
  <c r="R416" i="2"/>
  <c r="R317" i="2"/>
  <c r="I565" i="2" l="1"/>
  <c r="U564" i="2"/>
  <c r="R552" i="2"/>
  <c r="R565" i="2" s="1"/>
  <c r="L565" i="2"/>
  <c r="O565" i="2"/>
  <c r="T92" i="4"/>
  <c r="R92" i="4"/>
  <c r="N92" i="4"/>
  <c r="L92" i="4"/>
  <c r="J92" i="4"/>
  <c r="H92" i="4"/>
  <c r="F92" i="4"/>
  <c r="D92" i="4"/>
  <c r="P90" i="4"/>
  <c r="P92" i="4" s="1"/>
  <c r="R85" i="4"/>
  <c r="O85" i="4"/>
  <c r="L85" i="4"/>
  <c r="I85" i="4"/>
  <c r="G85" i="4"/>
  <c r="U83" i="4"/>
  <c r="U82" i="4"/>
  <c r="U81" i="4"/>
  <c r="U80" i="4"/>
  <c r="U79" i="4"/>
  <c r="U78" i="4"/>
  <c r="U77" i="4"/>
  <c r="U76" i="4"/>
  <c r="L73" i="4"/>
  <c r="I73" i="4"/>
  <c r="G73" i="4"/>
  <c r="U71" i="4"/>
  <c r="U70" i="4"/>
  <c r="U69" i="4"/>
  <c r="U68" i="4"/>
  <c r="U67" i="4"/>
  <c r="U66" i="4"/>
  <c r="R65" i="4"/>
  <c r="U65" i="4" s="1"/>
  <c r="O65" i="4"/>
  <c r="U64" i="4"/>
  <c r="U63" i="4"/>
  <c r="U62" i="4"/>
  <c r="U61" i="4"/>
  <c r="U60" i="4"/>
  <c r="U59" i="4"/>
  <c r="U58" i="4"/>
  <c r="U57" i="4"/>
  <c r="O73" i="4"/>
  <c r="U52" i="4"/>
  <c r="U51" i="4"/>
  <c r="U43" i="4"/>
  <c r="U41" i="4"/>
  <c r="U39" i="4"/>
  <c r="U37" i="4"/>
  <c r="U36" i="4"/>
  <c r="R34" i="4"/>
  <c r="U34" i="4" s="1"/>
  <c r="O34" i="4"/>
  <c r="U33" i="4"/>
  <c r="R31" i="4"/>
  <c r="U31" i="4" s="1"/>
  <c r="O31" i="4"/>
  <c r="U30" i="4"/>
  <c r="R28" i="4"/>
  <c r="U28" i="4" s="1"/>
  <c r="O28" i="4"/>
  <c r="U27" i="4"/>
  <c r="U552" i="2" l="1"/>
  <c r="U85" i="4"/>
  <c r="R73" i="4"/>
  <c r="U73" i="4" s="1"/>
  <c r="P449" i="2"/>
  <c r="R424" i="2"/>
  <c r="O424" i="2"/>
  <c r="U390" i="2" l="1"/>
  <c r="T451" i="2"/>
  <c r="R451" i="2"/>
  <c r="N451" i="2"/>
  <c r="L451" i="2"/>
  <c r="J451" i="2"/>
  <c r="H451" i="2"/>
  <c r="F451" i="2"/>
  <c r="D451" i="2"/>
  <c r="P451" i="2"/>
  <c r="R444" i="2"/>
  <c r="O444" i="2"/>
  <c r="L444" i="2"/>
  <c r="I444" i="2"/>
  <c r="G444" i="2"/>
  <c r="U442" i="2"/>
  <c r="U441" i="2"/>
  <c r="U440" i="2"/>
  <c r="U439" i="2"/>
  <c r="U438" i="2"/>
  <c r="U437" i="2"/>
  <c r="U436" i="2"/>
  <c r="U435" i="2"/>
  <c r="L432" i="2"/>
  <c r="I432" i="2"/>
  <c r="G432" i="2"/>
  <c r="U430" i="2"/>
  <c r="U429" i="2"/>
  <c r="U428" i="2"/>
  <c r="U427" i="2"/>
  <c r="U426" i="2"/>
  <c r="U425" i="2"/>
  <c r="U424" i="2"/>
  <c r="O432" i="2"/>
  <c r="U423" i="2"/>
  <c r="U422" i="2"/>
  <c r="U421" i="2"/>
  <c r="U420" i="2"/>
  <c r="U419" i="2"/>
  <c r="U418" i="2"/>
  <c r="U417" i="2"/>
  <c r="U416" i="2"/>
  <c r="U411" i="2"/>
  <c r="U410" i="2"/>
  <c r="U402" i="2"/>
  <c r="U400" i="2"/>
  <c r="U398" i="2"/>
  <c r="U396" i="2"/>
  <c r="U395" i="2"/>
  <c r="U393" i="2"/>
  <c r="U392" i="2"/>
  <c r="U389" i="2"/>
  <c r="U387" i="2"/>
  <c r="U386" i="2"/>
  <c r="P329" i="2"/>
  <c r="P331" i="2" s="1"/>
  <c r="R304" i="2"/>
  <c r="U304" i="2" s="1"/>
  <c r="O304" i="2"/>
  <c r="O312" i="2" s="1"/>
  <c r="R273" i="2"/>
  <c r="U273" i="2" s="1"/>
  <c r="O273" i="2"/>
  <c r="R270" i="2"/>
  <c r="U270" i="2" s="1"/>
  <c r="O270" i="2"/>
  <c r="R267" i="2"/>
  <c r="U267" i="2" s="1"/>
  <c r="O267" i="2"/>
  <c r="T331" i="2"/>
  <c r="R331" i="2"/>
  <c r="N331" i="2"/>
  <c r="L331" i="2"/>
  <c r="J331" i="2"/>
  <c r="H331" i="2"/>
  <c r="F331" i="2"/>
  <c r="D331" i="2"/>
  <c r="R324" i="2"/>
  <c r="O324" i="2"/>
  <c r="L324" i="2"/>
  <c r="I324" i="2"/>
  <c r="G324" i="2"/>
  <c r="U322" i="2"/>
  <c r="U321" i="2"/>
  <c r="U320" i="2"/>
  <c r="U319" i="2"/>
  <c r="U318" i="2"/>
  <c r="U317" i="2"/>
  <c r="U316" i="2"/>
  <c r="U315" i="2"/>
  <c r="L312" i="2"/>
  <c r="I312" i="2"/>
  <c r="G312" i="2"/>
  <c r="U310" i="2"/>
  <c r="U309" i="2"/>
  <c r="U308" i="2"/>
  <c r="U307" i="2"/>
  <c r="U306" i="2"/>
  <c r="U305" i="2"/>
  <c r="U303" i="2"/>
  <c r="U302" i="2"/>
  <c r="U301" i="2"/>
  <c r="U300" i="2"/>
  <c r="U299" i="2"/>
  <c r="U298" i="2"/>
  <c r="U297" i="2"/>
  <c r="U296" i="2"/>
  <c r="U290" i="2"/>
  <c r="U282" i="2"/>
  <c r="U280" i="2"/>
  <c r="U278" i="2"/>
  <c r="U276" i="2"/>
  <c r="U275" i="2"/>
  <c r="U272" i="2"/>
  <c r="U269" i="2"/>
  <c r="U266" i="2"/>
  <c r="P209" i="2"/>
  <c r="R182" i="2"/>
  <c r="R190" i="2" s="1"/>
  <c r="O182" i="2"/>
  <c r="O190" i="2" s="1"/>
  <c r="R151" i="2"/>
  <c r="U151" i="2" s="1"/>
  <c r="O151" i="2"/>
  <c r="R148" i="2"/>
  <c r="U148" i="2" s="1"/>
  <c r="O148" i="2"/>
  <c r="R145" i="2"/>
  <c r="U145" i="2" s="1"/>
  <c r="O145" i="2"/>
  <c r="T209" i="2"/>
  <c r="R209" i="2"/>
  <c r="N209" i="2"/>
  <c r="L209" i="2"/>
  <c r="J209" i="2"/>
  <c r="H209" i="2"/>
  <c r="F209" i="2"/>
  <c r="D209" i="2"/>
  <c r="R202" i="2"/>
  <c r="O202" i="2"/>
  <c r="L202" i="2"/>
  <c r="I202" i="2"/>
  <c r="G202" i="2"/>
  <c r="U200" i="2"/>
  <c r="U199" i="2"/>
  <c r="U198" i="2"/>
  <c r="U197" i="2"/>
  <c r="U196" i="2"/>
  <c r="U195" i="2"/>
  <c r="U194" i="2"/>
  <c r="U193" i="2"/>
  <c r="L190" i="2"/>
  <c r="I190" i="2"/>
  <c r="G190" i="2"/>
  <c r="U188" i="2"/>
  <c r="U187" i="2"/>
  <c r="U186" i="2"/>
  <c r="U185" i="2"/>
  <c r="U184" i="2"/>
  <c r="U183" i="2"/>
  <c r="U181" i="2"/>
  <c r="U180" i="2"/>
  <c r="U179" i="2"/>
  <c r="U178" i="2"/>
  <c r="U177" i="2"/>
  <c r="U176" i="2"/>
  <c r="U175" i="2"/>
  <c r="U174" i="2"/>
  <c r="U168" i="2"/>
  <c r="U160" i="2"/>
  <c r="U158" i="2"/>
  <c r="U156" i="2"/>
  <c r="U154" i="2"/>
  <c r="U153" i="2"/>
  <c r="U150" i="2"/>
  <c r="U147" i="2"/>
  <c r="U144" i="2"/>
  <c r="O445" i="2" l="1"/>
  <c r="U444" i="2"/>
  <c r="U182" i="2"/>
  <c r="R432" i="2"/>
  <c r="U190" i="2"/>
  <c r="U202" i="2"/>
  <c r="U324" i="2"/>
  <c r="R312" i="2"/>
  <c r="U312" i="2" s="1"/>
  <c r="U432" i="2" l="1"/>
  <c r="R445" i="2"/>
  <c r="U79" i="2"/>
  <c r="U78" i="2"/>
  <c r="U66" i="2"/>
  <c r="U65" i="2"/>
  <c r="U59" i="2"/>
  <c r="U60" i="2"/>
  <c r="U58" i="2"/>
  <c r="U54" i="2"/>
  <c r="U56" i="2"/>
  <c r="U55" i="2"/>
  <c r="U53" i="2"/>
  <c r="U50" i="2"/>
  <c r="T88" i="2" l="1"/>
  <c r="R88" i="2"/>
  <c r="P88" i="2"/>
  <c r="N88" i="2"/>
  <c r="L88" i="2"/>
  <c r="J88" i="2"/>
  <c r="H88" i="2"/>
  <c r="F88" i="2"/>
  <c r="D88" i="2"/>
  <c r="U77" i="2"/>
  <c r="U76" i="2"/>
  <c r="U75" i="2"/>
  <c r="U74" i="2"/>
  <c r="U73" i="2"/>
  <c r="U72" i="2"/>
  <c r="R81" i="2"/>
  <c r="O81" i="2"/>
  <c r="L81" i="2"/>
  <c r="I81" i="2"/>
  <c r="R69" i="2"/>
  <c r="O69" i="2"/>
  <c r="L69" i="2"/>
  <c r="I69" i="2"/>
  <c r="G81" i="2"/>
  <c r="G69" i="2"/>
  <c r="U67" i="2"/>
  <c r="U64" i="2"/>
  <c r="U69" i="2" l="1"/>
  <c r="U81" i="2"/>
  <c r="U61" i="2" l="1"/>
  <c r="U57" i="2"/>
  <c r="U63" i="2"/>
  <c r="U49" i="2"/>
  <c r="U62" i="2"/>
  <c r="U47" i="2" l="1"/>
  <c r="U39" i="2" l="1"/>
  <c r="U37" i="2"/>
  <c r="U35" i="2"/>
  <c r="U33" i="2"/>
  <c r="U32" i="2"/>
  <c r="U30" i="2"/>
  <c r="U29" i="2"/>
  <c r="U27" i="2"/>
  <c r="U26" i="2"/>
  <c r="U24" i="2"/>
  <c r="U23" i="2"/>
</calcChain>
</file>

<file path=xl/sharedStrings.xml><?xml version="1.0" encoding="utf-8"?>
<sst xmlns="http://schemas.openxmlformats.org/spreadsheetml/2006/main" count="2713" uniqueCount="166">
  <si>
    <t xml:space="preserve"> </t>
  </si>
  <si>
    <t>COMPONENTE/CONCEPTO DE APOYO</t>
  </si>
  <si>
    <t>UNIDAD RESPONSABLE</t>
  </si>
  <si>
    <t>ENTIDAD FEDERATIVA</t>
  </si>
  <si>
    <t>ORGANISMO AUXILIAR / INSTANCIA EJECUTORA</t>
  </si>
  <si>
    <t>PRES. ASIGNADO A LA INSTANCIA EJECUTORA</t>
  </si>
  <si>
    <t>FEDERAL</t>
  </si>
  <si>
    <t>ESTATAL</t>
  </si>
  <si>
    <t>PRODUCTORES</t>
  </si>
  <si>
    <t>PRESUPUESTO LIBERADO POR  FOFAE</t>
  </si>
  <si>
    <t>PERIODO DE INFORME</t>
  </si>
  <si>
    <t>PROYECTO</t>
  </si>
  <si>
    <t>Acción/Actividad</t>
  </si>
  <si>
    <t>Unidad de medida</t>
  </si>
  <si>
    <t>Avance Físico</t>
  </si>
  <si>
    <t>Programado Anual</t>
  </si>
  <si>
    <t>En el Mes</t>
  </si>
  <si>
    <t>Acumulado al Mes</t>
  </si>
  <si>
    <t>Programado</t>
  </si>
  <si>
    <t>Realizado</t>
  </si>
  <si>
    <t>% de avance Anual</t>
  </si>
  <si>
    <t>TOTAL</t>
  </si>
  <si>
    <t>Bien o Servicio</t>
  </si>
  <si>
    <t>Avance Fínanciero</t>
  </si>
  <si>
    <t>Programado
Anual</t>
  </si>
  <si>
    <t>Ejercido</t>
  </si>
  <si>
    <t>Federal</t>
  </si>
  <si>
    <t>Estatal</t>
  </si>
  <si>
    <t>Productores</t>
  </si>
  <si>
    <t>Gastos Técnicos del Proyecto</t>
  </si>
  <si>
    <t>Gastos Operativos Fijos</t>
  </si>
  <si>
    <t>RESUMEN FINANCIERO</t>
  </si>
  <si>
    <t>Ejercido en el mes</t>
  </si>
  <si>
    <t>Sub Total Técnicos del Proyecto</t>
  </si>
  <si>
    <t>Sub Total Gastos Operativos Fijos</t>
  </si>
  <si>
    <t>Observaciones/Aclaraciones</t>
  </si>
  <si>
    <t>REVISÓ</t>
  </si>
  <si>
    <t>AUTORIZACIÓN</t>
  </si>
  <si>
    <t>ELABORÓ</t>
  </si>
  <si>
    <t>Nombre y Firma (Gerente)</t>
  </si>
  <si>
    <t>Nombre y Firma (Presidente)</t>
  </si>
  <si>
    <t>Acción 1</t>
  </si>
  <si>
    <t>Actividad 1</t>
  </si>
  <si>
    <t>Actividad 2</t>
  </si>
  <si>
    <t>Acción 2</t>
  </si>
  <si>
    <t>Acción 3</t>
  </si>
  <si>
    <t>Nombre y Firma (Coordinador del Proyecto)</t>
  </si>
  <si>
    <t>Informe Trimestral de Avances Fisíco Financiero</t>
  </si>
  <si>
    <t>Por el SENASICA</t>
  </si>
  <si>
    <t>Nombre y Firma</t>
  </si>
  <si>
    <t>VALIDÓ</t>
  </si>
  <si>
    <t>Por el Gobierno del Estado</t>
  </si>
  <si>
    <t xml:space="preserve">Nombre y Firma </t>
  </si>
  <si>
    <t>Por la Delegación de la SADER del Estado</t>
  </si>
  <si>
    <t>COMITE ESTATAL DE SANIDAD VEGETAL DE COAHUILA A.C.</t>
  </si>
  <si>
    <t>ENERO 2019</t>
  </si>
  <si>
    <t>Trampas instaladas</t>
  </si>
  <si>
    <t>Revisiones programadas</t>
  </si>
  <si>
    <t>Número</t>
  </si>
  <si>
    <t>Rutas  de trampeo</t>
  </si>
  <si>
    <t>Pláticas a Productores</t>
  </si>
  <si>
    <t>Supervisión</t>
  </si>
  <si>
    <t>Evaluación</t>
  </si>
  <si>
    <t>Fortalecimiento</t>
  </si>
  <si>
    <t>Peajes</t>
  </si>
  <si>
    <t xml:space="preserve">Viáticos </t>
  </si>
  <si>
    <t>Profesional Responsable de Informática</t>
  </si>
  <si>
    <t>Profesional Técnico de Capacitación y Divulgación</t>
  </si>
  <si>
    <t>Impuestos vehiculares y derechos (incluye seguros vehiculares)</t>
  </si>
  <si>
    <t>Servicio postal de mensajería o paquetería</t>
  </si>
  <si>
    <t>FEBRERO</t>
  </si>
  <si>
    <t>FEBRERO 2019</t>
  </si>
  <si>
    <t>MARZO</t>
  </si>
  <si>
    <t>MARZO 2019</t>
  </si>
  <si>
    <t>ABRIL</t>
  </si>
  <si>
    <t>ABRIL 2019</t>
  </si>
  <si>
    <t>Trampas Jackson/Trimedlure</t>
  </si>
  <si>
    <t>Trampas Jackson/Cuelure</t>
  </si>
  <si>
    <t>Trampas Jackson/Metil eugenol</t>
  </si>
  <si>
    <t>Trampas Pherocom-AM</t>
  </si>
  <si>
    <t>Auxiliar administrativo</t>
  </si>
  <si>
    <t>Profesional fitosanitario</t>
  </si>
  <si>
    <t>Accesorios para Smartphone</t>
  </si>
  <si>
    <t>Consumibles de Computo</t>
  </si>
  <si>
    <t>Cuelure</t>
  </si>
  <si>
    <t>Elevador</t>
  </si>
  <si>
    <t>Laminillas</t>
  </si>
  <si>
    <t>Material de limpieza</t>
  </si>
  <si>
    <t>Mantenimiento equipo de computo</t>
  </si>
  <si>
    <t>Metil Eugenol</t>
  </si>
  <si>
    <t>Papelería</t>
  </si>
  <si>
    <t>Prismas</t>
  </si>
  <si>
    <t>Trimedlure</t>
  </si>
  <si>
    <t>Servicio de energía eléctrica</t>
  </si>
  <si>
    <t>Servicio de telefonía convencional</t>
  </si>
  <si>
    <t>MAYO</t>
  </si>
  <si>
    <t>JUNIO</t>
  </si>
  <si>
    <t>JUNIO 2019</t>
  </si>
  <si>
    <t>MAYO 2019</t>
  </si>
  <si>
    <t>JULIO</t>
  </si>
  <si>
    <t>JULIO 2019</t>
  </si>
  <si>
    <t xml:space="preserve">ING. VALENTIN SANTIAGO CRUZ </t>
  </si>
  <si>
    <t xml:space="preserve">ING. NOE DURAN DE LA PEÑA </t>
  </si>
  <si>
    <t>COORDINADOR DE PROYECTO</t>
  </si>
  <si>
    <t>GERENTE GENERAL DEL CESAVECO</t>
  </si>
  <si>
    <t>PRESIDENTE DEL CESAVECO</t>
  </si>
  <si>
    <t>ING. RICARDO E. FRAUSTRO SILLER</t>
  </si>
  <si>
    <t xml:space="preserve">ING. JESUS SALVADOR HURTADO REYES </t>
  </si>
  <si>
    <t xml:space="preserve">ING. ARNOLDO GERARDO MARTINEZ CANO </t>
  </si>
  <si>
    <t>ENCARGADO DE DESPACHO DE LA REPRESENTACION ESTATAL DE LA SADER EN COAHUILA</t>
  </si>
  <si>
    <t>REPRESENTANTE ESTATAL FITOZOOSANITARIO  Y DE INOCUIDAD AGROPECUARIA Y ACUICOLA  DEL SENASICA EN COAHUILA</t>
  </si>
  <si>
    <t xml:space="preserve">SUBSECRETARIO DE DESARROLLO RURAL DEL GOBIERNO DEL ESTADO DE COAHUILA </t>
  </si>
  <si>
    <t>AGOSTO</t>
  </si>
  <si>
    <t>AGOSTO 2019</t>
  </si>
  <si>
    <t>SEPTIEMBRE</t>
  </si>
  <si>
    <t>SEPTIEMBRE 2019</t>
  </si>
  <si>
    <t>OCTUBRE</t>
  </si>
  <si>
    <t>OCTUBRE 2019</t>
  </si>
  <si>
    <t>2019 VIGILANCIA EPIDEMIOLOGICA DE MOSCAS EXOTICAS DE LA FRUTA</t>
  </si>
  <si>
    <t>Gasolina magna</t>
  </si>
  <si>
    <t>En el Trimestre</t>
  </si>
  <si>
    <t>Acumulado al Trimestre</t>
  </si>
  <si>
    <t>Ejercido en el Trimestre</t>
  </si>
  <si>
    <t>Impuestos vehiculares y derechos (incluye seguros vehiculares, placas)</t>
  </si>
  <si>
    <t>Gratificación anual Gerente</t>
  </si>
  <si>
    <t>Informe Mensual de Avances Físico Financiero</t>
  </si>
  <si>
    <t>ABRIL A JUNIO SEGUNDO TRIMESTRE 2019</t>
  </si>
  <si>
    <t>ENERO A MARZO PRIMER TRIMESTRE 2019</t>
  </si>
  <si>
    <t>JULIO A SEPTIEMBRE  TERCER TRIMESTRE 2019</t>
  </si>
  <si>
    <t>Avance Financiero</t>
  </si>
  <si>
    <t>Gratificación anual</t>
  </si>
  <si>
    <t>Mantenimiento y conservación de vehículos y equipo</t>
  </si>
  <si>
    <t>Refacciones, accesorios y herramientas para vehículos (Acumulador)</t>
  </si>
  <si>
    <t>Refacciones, accesorios y herramientas para vehículos (Llantas)</t>
  </si>
  <si>
    <t>Servicio de telefonía celular y transmisión de datos</t>
  </si>
  <si>
    <t>Informe Trimestral de Avances Físico Financiero</t>
  </si>
  <si>
    <t>SR. SERGIO FLORES DE LA FUENTE</t>
  </si>
  <si>
    <t>ING. RICARDO DAVILA VALDEZ</t>
  </si>
  <si>
    <t>NOVIEMBRE</t>
  </si>
  <si>
    <t>NOVIEMBRE 2019</t>
  </si>
  <si>
    <t>Laminilla C&amp;C</t>
  </si>
  <si>
    <t>Bastidor 4 pulgadas</t>
  </si>
  <si>
    <t>Gancho de metal</t>
  </si>
  <si>
    <t>Placa Trimedlure 10 gr</t>
  </si>
  <si>
    <t>Pegamento  (stikem)</t>
  </si>
  <si>
    <t>DICIEMBRE</t>
  </si>
  <si>
    <t>Material de trampeo (Alambre galvanizado)</t>
  </si>
  <si>
    <t>Herramientas (caja herramientas y pinzas)</t>
  </si>
  <si>
    <t>DICIEMBRE 2019</t>
  </si>
  <si>
    <t>OCTUBRE A DICIEMBRE  CUARTO TRIMESTRE 2019</t>
  </si>
  <si>
    <t>De acuerdo al oficio B00.01.04.10168/2019 se autoriza procedente la Transferencia de recursos para realizar el fortalecimiento de sensibilización de la red de Trampeo de Moscas Exóticas de la Fruta en la compra del siguiente material: Laminillas C&amp;C, Bastidores de 4 Pulgadas, Gancho de metal, Placa trimedlure de 10 gramos y Pegamento (Stikem), recursos que se transfirieron de las economías de los siguientes conceptos: Metil Eugenol, Cuelure, Prismas, Laminillas, Trimedlure 3 gramos, Refacciones, accesorios y herramientas para vehículo (acumulador), Refacciones, accesorios y herramientas para vehículo (llantas), accesorios para Smartphone, Peajes y Viáticos con pernocta.</t>
  </si>
  <si>
    <t xml:space="preserve">De acuerdo al oficio B00.01.04.10168/2019 se autoriza procedente la Transferencia de recursos para realizar el fortalecimiento de sensibilización de la red de Trampeo de Moscas Exóticas de la Fruta en la compra del siguiente material: Laminillas C&amp;C, Bastidores de 4 Pulgadas, Gancho de metal, Placa trimedlure de 10 gramos y Pegamento (Stikem), recursos que se transfirieron de las economías de los siguientes conceptos: Metil Eugenol, Cuelure, Prismas, Laminillas, Trimedlure 3 gramos, Refacciones, accesorios y herramientas para vehículo (acumulador), Refacciones, accesorios y herramientas para vehículo (llantas), accesorios para Smartphone, Peajes y Viáticos con pernocta. </t>
  </si>
  <si>
    <t>De acuerdo al oficio B00.01.02.01.02.-11978/2019 se autoriza procedente la reasignacion de recursos de Vigilancia Epidemiologica de Moscas exoticas de la fruta para la compra de material de trampeo (Alambre galvanizado), Herramientas de campo (caja de herramientas y pinzas) y gasolina, recursos que se transfirieron de las economías de los siguientes conceptos: Consumibles de computo, Viaticos con pernocta, Servicio de mensajeria o paqueteria.</t>
  </si>
  <si>
    <t>Programado Acumulado</t>
  </si>
  <si>
    <t>Realizado Acumulado</t>
  </si>
  <si>
    <t>Porcentnaje</t>
  </si>
  <si>
    <t>COAHUILA</t>
  </si>
  <si>
    <t>Por la Representación de la SADER en el Estado</t>
  </si>
  <si>
    <t>Programado en el Trimestre</t>
  </si>
  <si>
    <t>Realizado en el Trimestre</t>
  </si>
  <si>
    <t>Realizado acumulado al   Trimestre</t>
  </si>
  <si>
    <t>Programado Acumulado al Trimestre</t>
  </si>
  <si>
    <t>Porciento</t>
  </si>
  <si>
    <t>DIRECCIÓN GENERAL DE SANIDAD VEGETAL</t>
  </si>
  <si>
    <t>VIGILANCIA EPIDEMIOLÓGICA, DE  PLAGAS Y ENFERMEDADES CUARENTENARIAS/VIGILANCIA EPIDEMIOLÓGICA DE RIESGOS FITOSANITARIOS NO CONTROLADOS</t>
  </si>
  <si>
    <t>COMITÉ ESTATAL DE SANIDAD VEGETAL DE COAHUILA A.C.</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</si>
</sst>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Calibri"/>
      <family val="2"/>
      <scheme val="minor"/>
    </font>
    <font>
      <sz val="11"/>
      <color theme="1"/>
      <name val="Calibri"/>
      <family val="2"/>
      <scheme val="minor"/>
    </font>
    <font>
      <b/>
      <sz val="11"/>
      <color theme="1"/>
      <name val="Calibri"/>
      <family val="2"/>
      <scheme val="minor"/>
    </font>
    <font>
      <b/>
      <sz val="19.75"/>
      <color rgb="FF000000"/>
      <name val="Calibri"/>
      <family val="2"/>
    </font>
    <font>
      <b/>
      <sz val="16.2"/>
      <color rgb="FF696969"/>
      <name val="Calibri"/>
      <family val="2"/>
    </font>
    <font>
      <b/>
      <sz val="9"/>
      <color rgb="FF000000"/>
      <name val="Calibri"/>
      <family val="2"/>
    </font>
    <font>
      <sz val="9"/>
      <color rgb="FF000000"/>
      <name val="Calibri"/>
      <family val="2"/>
    </font>
    <font>
      <b/>
      <sz val="10.15"/>
      <color rgb="FF000000"/>
      <name val="Calibri"/>
      <family val="2"/>
    </font>
    <font>
      <b/>
      <sz val="12"/>
      <color rgb="FF000000"/>
      <name val="Calibri"/>
      <family val="2"/>
    </font>
    <font>
      <sz val="9.75"/>
      <color rgb="FF000000"/>
      <name val="Times New Roman"/>
      <family val="2"/>
    </font>
    <font>
      <b/>
      <sz val="10"/>
      <color rgb="FF000000"/>
      <name val="Calibri"/>
      <family val="2"/>
    </font>
    <font>
      <sz val="11"/>
      <color rgb="FF000000"/>
      <name val="Calibri"/>
      <family val="2"/>
    </font>
    <font>
      <b/>
      <sz val="10"/>
      <color indexed="8"/>
      <name val="Arial"/>
      <family val="2"/>
    </font>
    <font>
      <sz val="10"/>
      <color indexed="8"/>
      <name val="Arial"/>
      <family val="2"/>
    </font>
    <font>
      <b/>
      <sz val="9"/>
      <color rgb="FF000000"/>
      <name val="Calibri"/>
      <family val="2"/>
      <scheme val="minor"/>
    </font>
    <font>
      <sz val="18"/>
      <color theme="1"/>
      <name val="Calibri"/>
      <family val="2"/>
      <scheme val="minor"/>
    </font>
    <font>
      <sz val="11"/>
      <color theme="0"/>
      <name val="Calibri"/>
      <family val="2"/>
      <scheme val="minor"/>
    </font>
    <font>
      <sz val="11"/>
      <color indexed="8"/>
      <name val="Calibri"/>
      <family val="2"/>
      <scheme val="minor"/>
    </font>
    <font>
      <sz val="10"/>
      <color theme="1"/>
      <name val="Calibri  "/>
    </font>
    <font>
      <sz val="11"/>
      <color theme="1"/>
      <name val="Calibri  "/>
    </font>
    <font>
      <sz val="9"/>
      <color rgb="FFFF0000"/>
      <name val="Calibri"/>
      <family val="2"/>
    </font>
    <font>
      <sz val="10"/>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00FF00"/>
        <bgColor indexed="64"/>
      </patternFill>
    </fill>
    <fill>
      <patternFill patternType="solid">
        <fgColor rgb="FFFFC000"/>
        <bgColor indexed="64"/>
      </patternFill>
    </fill>
    <fill>
      <patternFill patternType="solid">
        <fgColor rgb="FF00FFFF"/>
        <bgColor indexed="64"/>
      </patternFill>
    </fill>
    <fill>
      <patternFill patternType="solid">
        <fgColor rgb="FFFFFF00"/>
        <bgColor indexed="64"/>
      </patternFill>
    </fill>
  </fills>
  <borders count="110">
    <border>
      <left/>
      <right/>
      <top/>
      <bottom/>
      <diagonal/>
    </border>
    <border>
      <left/>
      <right/>
      <top/>
      <bottom style="medium">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style="medium">
        <color indexed="64"/>
      </right>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diagonal/>
    </border>
    <border>
      <left style="thin">
        <color rgb="FF000000"/>
      </left>
      <right/>
      <top style="thin">
        <color rgb="FF000000"/>
      </top>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rgb="FF000000"/>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rgb="FF000000"/>
      </left>
      <right/>
      <top style="medium">
        <color indexed="64"/>
      </top>
      <bottom/>
      <diagonal/>
    </border>
    <border>
      <left style="thin">
        <color rgb="FF000000"/>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rgb="FF000000"/>
      </left>
      <right/>
      <top/>
      <bottom/>
      <diagonal/>
    </border>
    <border>
      <left style="thin">
        <color rgb="FF000000"/>
      </left>
      <right style="thin">
        <color indexed="64"/>
      </right>
      <top/>
      <bottom/>
      <diagonal/>
    </border>
    <border>
      <left style="thin">
        <color indexed="64"/>
      </left>
      <right/>
      <top/>
      <bottom/>
      <diagonal/>
    </border>
    <border>
      <left/>
      <right style="thin">
        <color indexed="64"/>
      </right>
      <top/>
      <bottom/>
      <diagonal/>
    </border>
    <border>
      <left style="thin">
        <color rgb="FF000000"/>
      </left>
      <right style="medium">
        <color indexed="64"/>
      </right>
      <top/>
      <bottom/>
      <diagonal/>
    </border>
    <border>
      <left style="medium">
        <color indexed="64"/>
      </left>
      <right/>
      <top/>
      <bottom style="medium">
        <color indexed="64"/>
      </bottom>
      <diagonal/>
    </border>
    <border>
      <left style="thin">
        <color rgb="FF000000"/>
      </left>
      <right/>
      <top style="medium">
        <color indexed="64"/>
      </top>
      <bottom style="medium">
        <color indexed="64"/>
      </bottom>
      <diagonal/>
    </border>
    <border>
      <left/>
      <right style="thin">
        <color theme="0"/>
      </right>
      <top style="medium">
        <color indexed="64"/>
      </top>
      <bottom/>
      <diagonal/>
    </border>
    <border>
      <left style="thin">
        <color theme="0"/>
      </left>
      <right/>
      <top/>
      <bottom/>
      <diagonal/>
    </border>
    <border>
      <left style="thin">
        <color theme="0"/>
      </left>
      <right style="thin">
        <color theme="0"/>
      </right>
      <top/>
      <bottom/>
      <diagonal/>
    </border>
    <border>
      <left style="thin">
        <color theme="0"/>
      </left>
      <right/>
      <top style="medium">
        <color indexed="64"/>
      </top>
      <bottom/>
      <diagonal/>
    </border>
    <border>
      <left style="thin">
        <color theme="0"/>
      </left>
      <right style="thin">
        <color theme="0"/>
      </right>
      <top style="medium">
        <color indexed="64"/>
      </top>
      <bottom/>
      <diagonal/>
    </border>
    <border>
      <left/>
      <right style="thin">
        <color rgb="FF000000"/>
      </right>
      <top style="medium">
        <color indexed="64"/>
      </top>
      <bottom style="medium">
        <color indexed="64"/>
      </bottom>
      <diagonal/>
    </border>
    <border>
      <left style="medium">
        <color indexed="64"/>
      </left>
      <right/>
      <top style="thin">
        <color rgb="FF000000"/>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style="thin">
        <color indexed="64"/>
      </bottom>
      <diagonal/>
    </border>
    <border>
      <left style="thin">
        <color rgb="FF000000"/>
      </left>
      <right style="medium">
        <color indexed="64"/>
      </right>
      <top/>
      <bottom style="thin">
        <color indexed="64"/>
      </bottom>
      <diagonal/>
    </border>
    <border>
      <left style="thin">
        <color rgb="FF000000"/>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thin">
        <color indexed="64"/>
      </right>
      <top/>
      <bottom style="medium">
        <color indexed="64"/>
      </bottom>
      <diagonal/>
    </border>
    <border>
      <left style="thin">
        <color indexed="64"/>
      </left>
      <right/>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521">
    <xf numFmtId="0" fontId="0" fillId="0" borderId="0" xfId="0"/>
    <xf numFmtId="0" fontId="2" fillId="0" borderId="0" xfId="0" applyFont="1" applyAlignment="1"/>
    <xf numFmtId="0" fontId="4" fillId="0" borderId="0" xfId="0" applyNumberFormat="1" applyFont="1" applyAlignment="1" applyProtection="1">
      <alignment vertical="center" wrapText="1" readingOrder="1"/>
    </xf>
    <xf numFmtId="0" fontId="0" fillId="0" borderId="1" xfId="0" applyBorder="1"/>
    <xf numFmtId="0" fontId="0" fillId="0" borderId="8" xfId="0" applyBorder="1"/>
    <xf numFmtId="0" fontId="5" fillId="0" borderId="22" xfId="0" applyNumberFormat="1" applyFont="1" applyBorder="1" applyAlignment="1" applyProtection="1">
      <alignment horizontal="center" vertical="center" wrapText="1" readingOrder="1"/>
    </xf>
    <xf numFmtId="9" fontId="6" fillId="0" borderId="60" xfId="1" applyFont="1" applyBorder="1" applyAlignment="1" applyProtection="1">
      <alignment horizontal="center" vertical="top" wrapText="1" readingOrder="1"/>
    </xf>
    <xf numFmtId="0" fontId="5" fillId="0" borderId="63" xfId="0" applyNumberFormat="1" applyFont="1" applyBorder="1" applyAlignment="1" applyProtection="1">
      <alignment horizontal="center" vertical="center" wrapText="1" readingOrder="1"/>
    </xf>
    <xf numFmtId="0" fontId="5" fillId="0" borderId="0" xfId="0" applyNumberFormat="1" applyFont="1" applyBorder="1" applyAlignment="1" applyProtection="1">
      <alignment horizontal="center" vertical="center" wrapText="1" readingOrder="1"/>
    </xf>
    <xf numFmtId="0" fontId="5" fillId="0" borderId="64" xfId="0" applyNumberFormat="1" applyFont="1" applyBorder="1" applyAlignment="1" applyProtection="1">
      <alignment horizontal="center" vertical="center" wrapText="1" readingOrder="1"/>
    </xf>
    <xf numFmtId="0" fontId="5" fillId="0" borderId="65" xfId="0" applyNumberFormat="1" applyFont="1" applyBorder="1" applyAlignment="1" applyProtection="1">
      <alignment horizontal="center" vertical="center" wrapText="1" readingOrder="1"/>
    </xf>
    <xf numFmtId="0" fontId="5" fillId="0" borderId="66" xfId="0" applyNumberFormat="1" applyFont="1" applyBorder="1" applyAlignment="1" applyProtection="1">
      <alignment horizontal="center" vertical="center" wrapText="1" readingOrder="1"/>
    </xf>
    <xf numFmtId="4" fontId="5" fillId="0" borderId="63" xfId="0" applyNumberFormat="1" applyFont="1" applyBorder="1" applyAlignment="1" applyProtection="1">
      <alignment horizontal="right" vertical="center" wrapText="1" readingOrder="1"/>
    </xf>
    <xf numFmtId="4" fontId="5" fillId="0" borderId="66" xfId="0" applyNumberFormat="1" applyFont="1" applyBorder="1" applyAlignment="1" applyProtection="1">
      <alignment horizontal="right" vertical="center" wrapText="1" readingOrder="1"/>
    </xf>
    <xf numFmtId="4" fontId="5" fillId="0" borderId="67" xfId="0" applyNumberFormat="1" applyFont="1" applyBorder="1" applyAlignment="1" applyProtection="1">
      <alignment horizontal="right" vertical="center" wrapText="1" readingOrder="1"/>
    </xf>
    <xf numFmtId="4" fontId="5" fillId="0" borderId="35" xfId="0" applyNumberFormat="1" applyFont="1" applyBorder="1" applyAlignment="1" applyProtection="1">
      <alignment horizontal="right" vertical="center" wrapText="1" readingOrder="1"/>
    </xf>
    <xf numFmtId="0" fontId="7" fillId="0" borderId="0" xfId="0" applyNumberFormat="1" applyFont="1" applyBorder="1" applyAlignment="1" applyProtection="1">
      <alignment horizontal="center" vertical="center" wrapText="1" readingOrder="1"/>
    </xf>
    <xf numFmtId="0" fontId="7" fillId="0" borderId="46"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7" fillId="0" borderId="70" xfId="0" applyNumberFormat="1" applyFont="1" applyBorder="1" applyAlignment="1" applyProtection="1">
      <alignment horizontal="center" vertical="center" wrapText="1" readingOrder="1"/>
    </xf>
    <xf numFmtId="0" fontId="7" fillId="0" borderId="71" xfId="0" applyNumberFormat="1" applyFont="1" applyBorder="1" applyAlignment="1" applyProtection="1">
      <alignment horizontal="center" vertical="center" wrapText="1" readingOrder="1"/>
    </xf>
    <xf numFmtId="0" fontId="7" fillId="0" borderId="58" xfId="0" applyNumberFormat="1" applyFont="1" applyBorder="1" applyAlignment="1" applyProtection="1">
      <alignment horizontal="center" vertical="center" wrapText="1" readingOrder="1"/>
    </xf>
    <xf numFmtId="0" fontId="7" fillId="0" borderId="55" xfId="0" applyNumberFormat="1" applyFont="1" applyBorder="1" applyAlignment="1" applyProtection="1">
      <alignment horizontal="center" vertical="center" wrapText="1" readingOrder="1"/>
    </xf>
    <xf numFmtId="0" fontId="0" fillId="0" borderId="0" xfId="0" applyBorder="1"/>
    <xf numFmtId="4" fontId="5" fillId="0" borderId="74" xfId="0" applyNumberFormat="1" applyFont="1" applyBorder="1" applyAlignment="1" applyProtection="1">
      <alignment horizontal="right" vertical="center" wrapText="1" readingOrder="1"/>
    </xf>
    <xf numFmtId="9" fontId="2" fillId="0" borderId="75" xfId="1" applyFont="1" applyBorder="1" applyAlignment="1">
      <alignment horizontal="center"/>
    </xf>
    <xf numFmtId="4" fontId="6" fillId="0" borderId="56" xfId="0" applyNumberFormat="1" applyFont="1" applyBorder="1" applyAlignment="1" applyProtection="1">
      <alignment horizontal="right" vertical="center" wrapText="1" readingOrder="1"/>
    </xf>
    <xf numFmtId="9" fontId="6" fillId="0" borderId="77" xfId="1" applyFont="1" applyBorder="1" applyAlignment="1" applyProtection="1">
      <alignment horizontal="center" vertical="center" wrapText="1" readingOrder="1"/>
    </xf>
    <xf numFmtId="9" fontId="6" fillId="0" borderId="78" xfId="1" applyFont="1" applyBorder="1" applyAlignment="1" applyProtection="1">
      <alignment horizontal="center" vertical="center" wrapText="1" readingOrder="1"/>
    </xf>
    <xf numFmtId="4" fontId="10" fillId="0" borderId="80" xfId="0" applyNumberFormat="1" applyFont="1" applyBorder="1" applyAlignment="1" applyProtection="1">
      <alignment horizontal="right" vertical="center" wrapText="1" readingOrder="1"/>
    </xf>
    <xf numFmtId="4" fontId="10" fillId="0" borderId="74" xfId="0" applyNumberFormat="1" applyFont="1" applyBorder="1" applyAlignment="1" applyProtection="1">
      <alignment horizontal="right" vertical="center" wrapText="1" readingOrder="1"/>
    </xf>
    <xf numFmtId="9" fontId="10" fillId="0" borderId="75" xfId="1" applyFont="1" applyBorder="1" applyAlignment="1" applyProtection="1">
      <alignment horizontal="center" vertical="center" wrapText="1" readingOrder="1"/>
    </xf>
    <xf numFmtId="0" fontId="0" fillId="0" borderId="35" xfId="0" applyBorder="1"/>
    <xf numFmtId="0" fontId="0" fillId="0" borderId="34" xfId="0" applyBorder="1"/>
    <xf numFmtId="0" fontId="0" fillId="0" borderId="55" xfId="0" applyBorder="1"/>
    <xf numFmtId="0" fontId="0" fillId="0" borderId="47" xfId="0" applyBorder="1"/>
    <xf numFmtId="0" fontId="7" fillId="0" borderId="61" xfId="0" applyNumberFormat="1" applyFont="1" applyBorder="1" applyAlignment="1" applyProtection="1">
      <alignment vertical="center" wrapText="1" readingOrder="1"/>
    </xf>
    <xf numFmtId="0" fontId="7" fillId="0" borderId="1" xfId="0" applyNumberFormat="1" applyFont="1" applyBorder="1" applyAlignment="1" applyProtection="1">
      <alignment vertical="center" wrapText="1" readingOrder="1"/>
    </xf>
    <xf numFmtId="0" fontId="0" fillId="0" borderId="0" xfId="0" applyBorder="1" applyAlignment="1">
      <alignment horizontal="center"/>
    </xf>
    <xf numFmtId="0" fontId="0" fillId="0" borderId="35" xfId="0" applyBorder="1" applyAlignment="1">
      <alignment horizontal="center"/>
    </xf>
    <xf numFmtId="0" fontId="0" fillId="0" borderId="0" xfId="0" applyFill="1"/>
    <xf numFmtId="49" fontId="12" fillId="0" borderId="0" xfId="0" applyNumberFormat="1" applyFont="1" applyBorder="1" applyAlignment="1"/>
    <xf numFmtId="49" fontId="13" fillId="0" borderId="0" xfId="0" applyNumberFormat="1" applyFont="1" applyBorder="1" applyAlignment="1"/>
    <xf numFmtId="0" fontId="7" fillId="0" borderId="46" xfId="0" applyNumberFormat="1" applyFont="1" applyBorder="1" applyAlignment="1" applyProtection="1">
      <alignment horizontal="center" vertical="center" wrapText="1" readingOrder="1"/>
    </xf>
    <xf numFmtId="0" fontId="9" fillId="0" borderId="7" xfId="0" applyNumberFormat="1" applyFont="1" applyBorder="1" applyAlignment="1" applyProtection="1">
      <alignment horizontal="left" vertical="top"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7" fillId="0" borderId="55" xfId="0" applyNumberFormat="1" applyFont="1" applyBorder="1" applyAlignment="1" applyProtection="1">
      <alignment horizontal="center" vertical="center" wrapText="1" readingOrder="1"/>
    </xf>
    <xf numFmtId="4" fontId="5" fillId="0" borderId="73" xfId="0" applyNumberFormat="1" applyFont="1" applyBorder="1" applyAlignment="1" applyProtection="1">
      <alignment horizontal="right" vertical="center" wrapText="1" readingOrder="1"/>
    </xf>
    <xf numFmtId="0" fontId="0" fillId="0" borderId="0" xfId="0" applyBorder="1" applyAlignment="1">
      <alignment horizontal="center"/>
    </xf>
    <xf numFmtId="49" fontId="13" fillId="0" borderId="0" xfId="0" applyNumberFormat="1" applyFont="1" applyBorder="1" applyAlignment="1">
      <alignment horizontal="center"/>
    </xf>
    <xf numFmtId="0" fontId="0" fillId="0" borderId="0" xfId="0" applyBorder="1" applyAlignment="1"/>
    <xf numFmtId="0" fontId="9" fillId="0" borderId="60" xfId="0" applyNumberFormat="1" applyFont="1" applyBorder="1" applyAlignment="1" applyProtection="1">
      <alignment horizontal="left" vertical="top" wrapText="1" readingOrder="1"/>
    </xf>
    <xf numFmtId="9" fontId="6" fillId="0" borderId="95" xfId="1" applyFont="1" applyBorder="1" applyAlignment="1" applyProtection="1">
      <alignment horizontal="center" vertical="top" wrapText="1" readingOrder="1"/>
    </xf>
    <xf numFmtId="10" fontId="6" fillId="0" borderId="60" xfId="1" applyNumberFormat="1" applyFont="1" applyBorder="1" applyAlignment="1" applyProtection="1">
      <alignment horizontal="center" vertical="top" wrapText="1" readingOrder="1"/>
    </xf>
    <xf numFmtId="4" fontId="6" fillId="0" borderId="102" xfId="0" applyNumberFormat="1" applyFont="1" applyBorder="1" applyAlignment="1" applyProtection="1">
      <alignment horizontal="right" vertical="center" wrapText="1" readingOrder="1"/>
    </xf>
    <xf numFmtId="0" fontId="9" fillId="0" borderId="60" xfId="0" applyNumberFormat="1" applyFont="1" applyBorder="1" applyAlignment="1" applyProtection="1">
      <alignment horizontal="left" vertical="top" wrapText="1" readingOrder="1"/>
    </xf>
    <xf numFmtId="0" fontId="0" fillId="0" borderId="0" xfId="0" applyBorder="1" applyAlignment="1">
      <alignment horizontal="center"/>
    </xf>
    <xf numFmtId="0" fontId="7" fillId="0" borderId="46" xfId="0" applyNumberFormat="1" applyFont="1" applyBorder="1" applyAlignment="1" applyProtection="1">
      <alignment horizontal="center" vertical="center" wrapText="1" readingOrder="1"/>
    </xf>
    <xf numFmtId="0" fontId="7" fillId="0" borderId="55" xfId="0" applyNumberFormat="1" applyFont="1" applyBorder="1" applyAlignment="1" applyProtection="1">
      <alignment horizontal="center" vertical="center"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0" fillId="0" borderId="35" xfId="0" applyBorder="1" applyAlignment="1">
      <alignment horizontal="center"/>
    </xf>
    <xf numFmtId="4" fontId="6" fillId="0" borderId="0" xfId="0" applyNumberFormat="1" applyFont="1" applyBorder="1" applyAlignment="1" applyProtection="1">
      <alignment horizontal="right" vertical="center" wrapText="1" readingOrder="1"/>
    </xf>
    <xf numFmtId="4" fontId="6" fillId="0" borderId="0" xfId="0" applyNumberFormat="1" applyFont="1" applyBorder="1" applyAlignment="1" applyProtection="1">
      <alignment horizontal="right" vertical="center" wrapText="1" readingOrder="1"/>
    </xf>
    <xf numFmtId="10" fontId="6" fillId="0" borderId="77" xfId="1" applyNumberFormat="1" applyFont="1" applyBorder="1" applyAlignment="1" applyProtection="1">
      <alignment horizontal="center" vertical="center" wrapText="1" readingOrder="1"/>
    </xf>
    <xf numFmtId="4" fontId="6" fillId="0" borderId="83" xfId="0" applyNumberFormat="1" applyFont="1" applyBorder="1" applyAlignment="1" applyProtection="1">
      <alignment horizontal="right" vertical="center" wrapText="1" readingOrder="1"/>
    </xf>
    <xf numFmtId="4" fontId="6" fillId="0" borderId="104" xfId="0" applyNumberFormat="1" applyFont="1" applyBorder="1" applyAlignment="1" applyProtection="1">
      <alignment horizontal="right" vertical="center" wrapText="1" readingOrder="1"/>
    </xf>
    <xf numFmtId="4" fontId="6" fillId="0" borderId="54" xfId="0" applyNumberFormat="1" applyFont="1" applyBorder="1" applyAlignment="1" applyProtection="1">
      <alignment horizontal="right" vertical="center" wrapText="1" readingOrder="1"/>
    </xf>
    <xf numFmtId="10" fontId="1" fillId="0" borderId="78" xfId="1" applyNumberFormat="1" applyFont="1" applyBorder="1" applyAlignment="1">
      <alignment horizontal="center"/>
    </xf>
    <xf numFmtId="4" fontId="6" fillId="0" borderId="105" xfId="0" applyNumberFormat="1" applyFont="1" applyBorder="1" applyAlignment="1" applyProtection="1">
      <alignment horizontal="right" vertical="center" wrapText="1" readingOrder="1"/>
    </xf>
    <xf numFmtId="10" fontId="1" fillId="0" borderId="8" xfId="1" applyNumberFormat="1" applyFont="1" applyBorder="1" applyAlignment="1">
      <alignment horizontal="center"/>
    </xf>
    <xf numFmtId="9" fontId="6" fillId="0" borderId="0" xfId="1" applyFont="1" applyBorder="1" applyAlignment="1" applyProtection="1">
      <alignment horizontal="center" vertical="center" wrapText="1" readingOrder="1"/>
    </xf>
    <xf numFmtId="4" fontId="10" fillId="0" borderId="107" xfId="0" applyNumberFormat="1" applyFont="1" applyBorder="1" applyAlignment="1" applyProtection="1">
      <alignment horizontal="right" vertical="center" wrapText="1" readingOrder="1"/>
    </xf>
    <xf numFmtId="4" fontId="6" fillId="0" borderId="52" xfId="0" applyNumberFormat="1" applyFont="1" applyBorder="1" applyAlignment="1" applyProtection="1">
      <alignment horizontal="right" vertical="center" wrapText="1" readingOrder="1"/>
    </xf>
    <xf numFmtId="10" fontId="1" fillId="0" borderId="36" xfId="1" applyNumberFormat="1" applyFont="1" applyBorder="1" applyAlignment="1">
      <alignment horizontal="center"/>
    </xf>
    <xf numFmtId="4" fontId="6" fillId="0" borderId="108" xfId="0" applyNumberFormat="1" applyFont="1" applyBorder="1" applyAlignment="1" applyProtection="1">
      <alignment horizontal="right" vertical="center" wrapText="1" readingOrder="1"/>
    </xf>
    <xf numFmtId="9" fontId="6" fillId="0" borderId="47" xfId="1" applyFont="1" applyBorder="1" applyAlignment="1" applyProtection="1">
      <alignment horizontal="center" vertical="center" wrapText="1" readingOrder="1"/>
    </xf>
    <xf numFmtId="10" fontId="11" fillId="0" borderId="107" xfId="1" applyNumberFormat="1" applyFont="1" applyBorder="1" applyAlignment="1" applyProtection="1">
      <alignment horizontal="center" vertical="center" wrapText="1" readingOrder="1"/>
    </xf>
    <xf numFmtId="0" fontId="7" fillId="0" borderId="46" xfId="0" applyNumberFormat="1" applyFont="1" applyBorder="1" applyAlignment="1" applyProtection="1">
      <alignment horizontal="center" vertical="center" wrapText="1" readingOrder="1"/>
    </xf>
    <xf numFmtId="0" fontId="7" fillId="0" borderId="55" xfId="0" applyNumberFormat="1" applyFont="1" applyBorder="1" applyAlignment="1" applyProtection="1">
      <alignment horizontal="center" vertical="center"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9" fillId="0" borderId="60" xfId="0" applyNumberFormat="1" applyFont="1" applyBorder="1" applyAlignment="1" applyProtection="1">
      <alignment horizontal="left" vertical="top" wrapText="1" readingOrder="1"/>
    </xf>
    <xf numFmtId="4" fontId="6" fillId="0" borderId="83" xfId="0" applyNumberFormat="1" applyFont="1" applyBorder="1" applyAlignment="1" applyProtection="1">
      <alignment horizontal="right" vertical="center" wrapText="1" readingOrder="1"/>
    </xf>
    <xf numFmtId="4" fontId="6" fillId="0" borderId="0" xfId="0" applyNumberFormat="1" applyFont="1" applyBorder="1" applyAlignment="1" applyProtection="1">
      <alignment horizontal="right" vertical="center" wrapText="1" readingOrder="1"/>
    </xf>
    <xf numFmtId="0" fontId="0" fillId="0" borderId="0" xfId="0" applyBorder="1" applyAlignment="1">
      <alignment horizontal="center"/>
    </xf>
    <xf numFmtId="0" fontId="0" fillId="0" borderId="35" xfId="0" applyBorder="1" applyAlignment="1">
      <alignment horizontal="center"/>
    </xf>
    <xf numFmtId="0" fontId="0" fillId="0" borderId="0" xfId="0" applyBorder="1" applyAlignment="1">
      <alignment horizontal="center"/>
    </xf>
    <xf numFmtId="0" fontId="0" fillId="0" borderId="35" xfId="0" applyBorder="1" applyAlignment="1">
      <alignment horizontal="center"/>
    </xf>
    <xf numFmtId="4" fontId="6" fillId="0" borderId="0" xfId="0" applyNumberFormat="1" applyFont="1" applyBorder="1" applyAlignment="1" applyProtection="1">
      <alignment horizontal="right" vertical="center" wrapText="1" readingOrder="1"/>
    </xf>
    <xf numFmtId="0" fontId="7" fillId="0" borderId="55" xfId="0" applyNumberFormat="1" applyFont="1" applyBorder="1" applyAlignment="1" applyProtection="1">
      <alignment horizontal="center" vertical="center"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7" fillId="0" borderId="46" xfId="0" applyNumberFormat="1" applyFont="1" applyBorder="1" applyAlignment="1" applyProtection="1">
      <alignment horizontal="center" vertical="center" wrapText="1" readingOrder="1"/>
    </xf>
    <xf numFmtId="0" fontId="9" fillId="0" borderId="60" xfId="0" applyNumberFormat="1" applyFont="1" applyBorder="1" applyAlignment="1" applyProtection="1">
      <alignment horizontal="left" vertical="top" wrapText="1" readingOrder="1"/>
    </xf>
    <xf numFmtId="0" fontId="0" fillId="0" borderId="35" xfId="0" applyBorder="1" applyAlignment="1">
      <alignment horizontal="center"/>
    </xf>
    <xf numFmtId="4" fontId="6" fillId="0" borderId="0" xfId="0" applyNumberFormat="1" applyFont="1" applyBorder="1" applyAlignment="1" applyProtection="1">
      <alignment horizontal="right" vertical="center" wrapText="1" readingOrder="1"/>
    </xf>
    <xf numFmtId="0" fontId="7" fillId="0" borderId="55" xfId="0" applyNumberFormat="1" applyFont="1" applyBorder="1" applyAlignment="1" applyProtection="1">
      <alignment horizontal="center" vertical="center"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7" fillId="0" borderId="46" xfId="0" applyNumberFormat="1" applyFont="1" applyBorder="1" applyAlignment="1" applyProtection="1">
      <alignment horizontal="center" vertical="center" wrapText="1" readingOrder="1"/>
    </xf>
    <xf numFmtId="0" fontId="9" fillId="0" borderId="60" xfId="0" applyNumberFormat="1" applyFont="1" applyBorder="1" applyAlignment="1" applyProtection="1">
      <alignment horizontal="left" vertical="top" wrapText="1" readingOrder="1"/>
    </xf>
    <xf numFmtId="0" fontId="0" fillId="0" borderId="0" xfId="0" applyBorder="1" applyAlignment="1">
      <alignment horizontal="center"/>
    </xf>
    <xf numFmtId="4" fontId="16" fillId="0" borderId="34" xfId="0" applyNumberFormat="1" applyFont="1" applyBorder="1"/>
    <xf numFmtId="4" fontId="16" fillId="0" borderId="34" xfId="0" applyNumberFormat="1" applyFont="1" applyFill="1" applyBorder="1"/>
    <xf numFmtId="0" fontId="15" fillId="0" borderId="0" xfId="0" applyFont="1" applyFill="1" applyAlignment="1">
      <alignment horizontal="center"/>
    </xf>
    <xf numFmtId="0" fontId="0" fillId="0" borderId="0" xfId="0" applyBorder="1" applyAlignment="1">
      <alignment horizontal="center"/>
    </xf>
    <xf numFmtId="0" fontId="7" fillId="0" borderId="55" xfId="0" applyNumberFormat="1" applyFont="1" applyBorder="1" applyAlignment="1" applyProtection="1">
      <alignment horizontal="center" vertical="center"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7" fillId="0" borderId="46" xfId="0" applyNumberFormat="1" applyFont="1" applyBorder="1" applyAlignment="1" applyProtection="1">
      <alignment horizontal="center" vertical="center" wrapText="1" readingOrder="1"/>
    </xf>
    <xf numFmtId="0" fontId="9" fillId="0" borderId="60" xfId="0" applyNumberFormat="1" applyFont="1" applyBorder="1" applyAlignment="1" applyProtection="1">
      <alignment horizontal="left" vertical="top" wrapText="1" readingOrder="1"/>
    </xf>
    <xf numFmtId="4" fontId="6" fillId="0" borderId="0" xfId="0" applyNumberFormat="1" applyFont="1" applyBorder="1" applyAlignment="1" applyProtection="1">
      <alignment horizontal="right" vertical="center" wrapText="1" readingOrder="1"/>
    </xf>
    <xf numFmtId="0" fontId="0" fillId="0" borderId="35" xfId="0" applyBorder="1" applyAlignment="1">
      <alignment horizontal="center"/>
    </xf>
    <xf numFmtId="4" fontId="0" fillId="0" borderId="0" xfId="0" applyNumberFormat="1" applyBorder="1" applyAlignment="1">
      <alignment horizontal="center"/>
    </xf>
    <xf numFmtId="4" fontId="6" fillId="0" borderId="56" xfId="0" applyNumberFormat="1" applyFont="1" applyFill="1" applyBorder="1" applyAlignment="1" applyProtection="1">
      <alignment horizontal="right" vertical="center" wrapText="1" readingOrder="1"/>
    </xf>
    <xf numFmtId="4" fontId="6" fillId="0" borderId="105" xfId="0" applyNumberFormat="1" applyFont="1" applyFill="1" applyBorder="1" applyAlignment="1" applyProtection="1">
      <alignment horizontal="right" vertical="center" wrapText="1" readingOrder="1"/>
    </xf>
    <xf numFmtId="0" fontId="19" fillId="0" borderId="0" xfId="0" applyFont="1"/>
    <xf numFmtId="0" fontId="19" fillId="0" borderId="0" xfId="0" applyFont="1" applyBorder="1" applyAlignment="1"/>
    <xf numFmtId="0" fontId="0" fillId="0" borderId="0" xfId="0" applyBorder="1" applyAlignment="1">
      <alignment horizontal="center"/>
    </xf>
    <xf numFmtId="0" fontId="7" fillId="0" borderId="55" xfId="0" applyNumberFormat="1" applyFont="1" applyBorder="1" applyAlignment="1" applyProtection="1">
      <alignment horizontal="center" vertical="center"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7" fillId="0" borderId="46" xfId="0" applyNumberFormat="1" applyFont="1" applyBorder="1" applyAlignment="1" applyProtection="1">
      <alignment horizontal="center" vertical="center" wrapText="1" readingOrder="1"/>
    </xf>
    <xf numFmtId="0" fontId="9" fillId="0" borderId="60" xfId="0" applyNumberFormat="1" applyFont="1" applyBorder="1" applyAlignment="1" applyProtection="1">
      <alignment horizontal="left" vertical="top" wrapText="1" readingOrder="1"/>
    </xf>
    <xf numFmtId="4" fontId="6" fillId="0" borderId="0" xfId="0" applyNumberFormat="1" applyFont="1" applyBorder="1" applyAlignment="1" applyProtection="1">
      <alignment horizontal="right" vertical="center" wrapText="1" readingOrder="1"/>
    </xf>
    <xf numFmtId="0" fontId="0" fillId="0" borderId="35" xfId="0" applyBorder="1" applyAlignment="1">
      <alignment horizontal="center"/>
    </xf>
    <xf numFmtId="4" fontId="0" fillId="0" borderId="0" xfId="0" applyNumberFormat="1"/>
    <xf numFmtId="4" fontId="20" fillId="0" borderId="0" xfId="0" applyNumberFormat="1" applyFont="1" applyBorder="1" applyAlignment="1" applyProtection="1">
      <alignment horizontal="right" vertical="center" wrapText="1" readingOrder="1"/>
    </xf>
    <xf numFmtId="0" fontId="16" fillId="0" borderId="0" xfId="0" applyFont="1"/>
    <xf numFmtId="0" fontId="16" fillId="0" borderId="34" xfId="0" applyFont="1" applyBorder="1"/>
    <xf numFmtId="49" fontId="13" fillId="0" borderId="0" xfId="0" applyNumberFormat="1" applyFont="1" applyBorder="1" applyAlignment="1">
      <alignment horizontal="center"/>
    </xf>
    <xf numFmtId="0" fontId="0" fillId="0" borderId="0" xfId="0" applyBorder="1" applyAlignment="1">
      <alignment horizontal="center"/>
    </xf>
    <xf numFmtId="0" fontId="7" fillId="0" borderId="55" xfId="0" applyNumberFormat="1" applyFont="1" applyBorder="1" applyAlignment="1" applyProtection="1">
      <alignment horizontal="center" vertical="center"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7" fillId="0" borderId="46" xfId="0" applyNumberFormat="1" applyFont="1" applyBorder="1" applyAlignment="1" applyProtection="1">
      <alignment horizontal="center" vertical="center" wrapText="1" readingOrder="1"/>
    </xf>
    <xf numFmtId="0" fontId="9" fillId="0" borderId="60" xfId="0" applyNumberFormat="1" applyFont="1" applyBorder="1" applyAlignment="1" applyProtection="1">
      <alignment horizontal="left" vertical="top" wrapText="1" readingOrder="1"/>
    </xf>
    <xf numFmtId="4" fontId="6" fillId="0" borderId="0" xfId="0" applyNumberFormat="1" applyFont="1" applyBorder="1" applyAlignment="1" applyProtection="1">
      <alignment horizontal="right" vertical="center" wrapText="1" readingOrder="1"/>
    </xf>
    <xf numFmtId="0" fontId="0" fillId="0" borderId="35" xfId="0" applyBorder="1" applyAlignment="1">
      <alignment horizontal="center"/>
    </xf>
    <xf numFmtId="4" fontId="6" fillId="0" borderId="104" xfId="0" applyNumberFormat="1" applyFont="1" applyFill="1" applyBorder="1" applyAlignment="1" applyProtection="1">
      <alignment horizontal="right" vertical="center" wrapText="1" readingOrder="1"/>
    </xf>
    <xf numFmtId="4" fontId="6" fillId="0" borderId="0" xfId="0" applyNumberFormat="1" applyFont="1" applyFill="1" applyBorder="1" applyAlignment="1" applyProtection="1">
      <alignment horizontal="right" vertical="center" wrapText="1" readingOrder="1"/>
    </xf>
    <xf numFmtId="0" fontId="0" fillId="0" borderId="35" xfId="0" applyBorder="1" applyAlignment="1">
      <alignment horizontal="center"/>
    </xf>
    <xf numFmtId="0" fontId="0" fillId="0" borderId="0" xfId="0" applyBorder="1" applyAlignment="1">
      <alignment horizontal="center"/>
    </xf>
    <xf numFmtId="4" fontId="6" fillId="0" borderId="0" xfId="0" applyNumberFormat="1" applyFont="1" applyBorder="1" applyAlignment="1" applyProtection="1">
      <alignment horizontal="right" vertical="center" wrapText="1" readingOrder="1"/>
    </xf>
    <xf numFmtId="0" fontId="7" fillId="0" borderId="55" xfId="0" applyNumberFormat="1" applyFont="1" applyBorder="1" applyAlignment="1" applyProtection="1">
      <alignment horizontal="center" vertical="center"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7" fillId="0" borderId="46" xfId="0" applyNumberFormat="1" applyFont="1" applyBorder="1" applyAlignment="1" applyProtection="1">
      <alignment horizontal="center" vertical="center" wrapText="1" readingOrder="1"/>
    </xf>
    <xf numFmtId="0" fontId="9" fillId="0" borderId="60" xfId="0" applyNumberFormat="1" applyFont="1" applyBorder="1" applyAlignment="1" applyProtection="1">
      <alignment horizontal="left" vertical="top" wrapText="1" readingOrder="1"/>
    </xf>
    <xf numFmtId="4" fontId="16" fillId="0" borderId="0" xfId="0" applyNumberFormat="1" applyFont="1"/>
    <xf numFmtId="0" fontId="0" fillId="0" borderId="0" xfId="0" applyFill="1" applyBorder="1"/>
    <xf numFmtId="10" fontId="1" fillId="0" borderId="8" xfId="1" applyNumberFormat="1" applyFont="1" applyFill="1" applyBorder="1" applyAlignment="1">
      <alignment horizontal="center"/>
    </xf>
    <xf numFmtId="4" fontId="6" fillId="0" borderId="54" xfId="0" applyNumberFormat="1" applyFont="1" applyFill="1" applyBorder="1" applyAlignment="1" applyProtection="1">
      <alignment horizontal="right" vertical="center" wrapText="1" readingOrder="1"/>
    </xf>
    <xf numFmtId="10" fontId="1" fillId="0" borderId="78" xfId="1" applyNumberFormat="1" applyFont="1" applyFill="1" applyBorder="1" applyAlignment="1">
      <alignment horizontal="center"/>
    </xf>
    <xf numFmtId="10" fontId="6" fillId="0" borderId="77" xfId="1" applyNumberFormat="1" applyFont="1" applyFill="1" applyBorder="1" applyAlignment="1" applyProtection="1">
      <alignment horizontal="center" vertical="center" wrapText="1" readingOrder="1"/>
    </xf>
    <xf numFmtId="0" fontId="0" fillId="0" borderId="0" xfId="0" applyBorder="1" applyAlignment="1">
      <alignment horizontal="center"/>
    </xf>
    <xf numFmtId="4" fontId="6" fillId="0" borderId="83" xfId="0" applyNumberFormat="1" applyFont="1" applyFill="1" applyBorder="1" applyAlignment="1" applyProtection="1">
      <alignment horizontal="right" vertical="center" wrapText="1" readingOrder="1"/>
    </xf>
    <xf numFmtId="4" fontId="0" fillId="0" borderId="0" xfId="0" applyNumberFormat="1" applyBorder="1"/>
    <xf numFmtId="49" fontId="13" fillId="0" borderId="0" xfId="0" applyNumberFormat="1" applyFont="1" applyBorder="1" applyAlignment="1">
      <alignment horizontal="center"/>
    </xf>
    <xf numFmtId="4" fontId="6" fillId="0" borderId="52" xfId="0" applyNumberFormat="1" applyFont="1" applyFill="1" applyBorder="1" applyAlignment="1" applyProtection="1">
      <alignment horizontal="right" vertical="center" wrapText="1" readingOrder="1"/>
    </xf>
    <xf numFmtId="10" fontId="1" fillId="0" borderId="36" xfId="1" applyNumberFormat="1" applyFont="1" applyFill="1" applyBorder="1" applyAlignment="1">
      <alignment horizontal="center"/>
    </xf>
    <xf numFmtId="4" fontId="6" fillId="0" borderId="102" xfId="0" applyNumberFormat="1" applyFont="1" applyFill="1" applyBorder="1" applyAlignment="1" applyProtection="1">
      <alignment horizontal="right" vertical="center" wrapText="1" readingOrder="1"/>
    </xf>
    <xf numFmtId="4" fontId="6" fillId="0" borderId="108" xfId="0" applyNumberFormat="1" applyFont="1" applyFill="1" applyBorder="1" applyAlignment="1" applyProtection="1">
      <alignment horizontal="right" vertical="center" wrapText="1" readingOrder="1"/>
    </xf>
    <xf numFmtId="9" fontId="6" fillId="0" borderId="47" xfId="1" applyFont="1" applyFill="1" applyBorder="1" applyAlignment="1" applyProtection="1">
      <alignment horizontal="center" vertical="center" wrapText="1" readingOrder="1"/>
    </xf>
    <xf numFmtId="4" fontId="0" fillId="0" borderId="0" xfId="0" applyNumberFormat="1" applyFill="1" applyBorder="1"/>
    <xf numFmtId="49" fontId="13" fillId="0" borderId="0" xfId="0" applyNumberFormat="1" applyFont="1" applyBorder="1" applyAlignment="1">
      <alignment horizontal="center"/>
    </xf>
    <xf numFmtId="49" fontId="13" fillId="0" borderId="0" xfId="0" applyNumberFormat="1" applyFont="1" applyBorder="1" applyAlignment="1">
      <alignment horizontal="center"/>
    </xf>
    <xf numFmtId="0" fontId="0" fillId="0" borderId="0" xfId="0" applyBorder="1" applyAlignment="1">
      <alignment horizontal="center"/>
    </xf>
    <xf numFmtId="0" fontId="0" fillId="0" borderId="35" xfId="0" applyBorder="1" applyAlignment="1">
      <alignment horizontal="center"/>
    </xf>
    <xf numFmtId="0" fontId="7" fillId="0" borderId="55" xfId="0" applyNumberFormat="1" applyFont="1" applyBorder="1" applyAlignment="1" applyProtection="1">
      <alignment horizontal="center" vertical="center"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7" fillId="0" borderId="46" xfId="0" applyNumberFormat="1" applyFont="1" applyBorder="1" applyAlignment="1" applyProtection="1">
      <alignment horizontal="center" vertical="center" wrapText="1" readingOrder="1"/>
    </xf>
    <xf numFmtId="0" fontId="9" fillId="0" borderId="60" xfId="0" applyNumberFormat="1" applyFont="1" applyBorder="1" applyAlignment="1" applyProtection="1">
      <alignment horizontal="left" vertical="top" wrapText="1" readingOrder="1"/>
    </xf>
    <xf numFmtId="9" fontId="6" fillId="0" borderId="77" xfId="1" applyFont="1" applyFill="1" applyBorder="1" applyAlignment="1" applyProtection="1">
      <alignment horizontal="center" vertical="center" wrapText="1" readingOrder="1"/>
    </xf>
    <xf numFmtId="49" fontId="13" fillId="0" borderId="0" xfId="0" applyNumberFormat="1" applyFont="1" applyBorder="1" applyAlignment="1">
      <alignment horizontal="center"/>
    </xf>
    <xf numFmtId="0" fontId="0" fillId="0" borderId="0" xfId="0" applyBorder="1" applyAlignment="1">
      <alignment horizontal="center"/>
    </xf>
    <xf numFmtId="0" fontId="0" fillId="0" borderId="35" xfId="0" applyBorder="1" applyAlignment="1">
      <alignment horizontal="center"/>
    </xf>
    <xf numFmtId="4" fontId="6" fillId="0" borderId="0" xfId="0" applyNumberFormat="1" applyFont="1" applyBorder="1" applyAlignment="1" applyProtection="1">
      <alignment horizontal="right" vertical="center" wrapText="1" readingOrder="1"/>
    </xf>
    <xf numFmtId="0" fontId="7" fillId="0" borderId="55" xfId="0" applyNumberFormat="1" applyFont="1" applyBorder="1" applyAlignment="1" applyProtection="1">
      <alignment horizontal="center" vertical="center"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7" fillId="0" borderId="46" xfId="0" applyNumberFormat="1" applyFont="1" applyBorder="1" applyAlignment="1" applyProtection="1">
      <alignment horizontal="center" vertical="center" wrapText="1" readingOrder="1"/>
    </xf>
    <xf numFmtId="0" fontId="9" fillId="0" borderId="60" xfId="0" applyNumberFormat="1" applyFont="1" applyBorder="1" applyAlignment="1" applyProtection="1">
      <alignment horizontal="left" vertical="top" wrapText="1" readingOrder="1"/>
    </xf>
    <xf numFmtId="4" fontId="6" fillId="0" borderId="83" xfId="0" applyNumberFormat="1" applyFont="1" applyFill="1" applyBorder="1" applyAlignment="1" applyProtection="1">
      <alignment horizontal="right" vertical="center" wrapText="1" readingOrder="1"/>
    </xf>
    <xf numFmtId="4" fontId="6" fillId="0" borderId="58" xfId="0" applyNumberFormat="1" applyFont="1" applyFill="1" applyBorder="1" applyAlignment="1" applyProtection="1">
      <alignment horizontal="right" vertical="center" wrapText="1" readingOrder="1"/>
    </xf>
    <xf numFmtId="4" fontId="10" fillId="0" borderId="80" xfId="0" applyNumberFormat="1" applyFont="1" applyFill="1" applyBorder="1" applyAlignment="1" applyProtection="1">
      <alignment horizontal="right" vertical="center" wrapText="1" readingOrder="1"/>
    </xf>
    <xf numFmtId="4" fontId="10" fillId="0" borderId="74" xfId="0" applyNumberFormat="1" applyFont="1" applyFill="1" applyBorder="1" applyAlignment="1" applyProtection="1">
      <alignment horizontal="right" vertical="center" wrapText="1" readingOrder="1"/>
    </xf>
    <xf numFmtId="10" fontId="11" fillId="0" borderId="107" xfId="1" applyNumberFormat="1" applyFont="1" applyFill="1" applyBorder="1" applyAlignment="1" applyProtection="1">
      <alignment horizontal="center" vertical="center" wrapText="1" readingOrder="1"/>
    </xf>
    <xf numFmtId="9" fontId="6" fillId="0" borderId="0" xfId="1" applyFont="1" applyFill="1" applyBorder="1" applyAlignment="1" applyProtection="1">
      <alignment horizontal="center" vertical="center" wrapText="1" readingOrder="1"/>
    </xf>
    <xf numFmtId="10" fontId="21" fillId="0" borderId="77" xfId="1" applyNumberFormat="1" applyFont="1" applyFill="1" applyBorder="1" applyAlignment="1" applyProtection="1">
      <alignment horizontal="center" vertical="center" wrapText="1" readingOrder="1"/>
    </xf>
    <xf numFmtId="3" fontId="0" fillId="0" borderId="0" xfId="0" applyNumberFormat="1"/>
    <xf numFmtId="9" fontId="0" fillId="0" borderId="0" xfId="0" applyNumberFormat="1"/>
    <xf numFmtId="9" fontId="0" fillId="0" borderId="0" xfId="1" applyFont="1"/>
    <xf numFmtId="4" fontId="0" fillId="0" borderId="0" xfId="0" applyNumberFormat="1" applyFill="1"/>
    <xf numFmtId="9" fontId="0" fillId="0" borderId="0" xfId="1" applyFont="1" applyFill="1"/>
    <xf numFmtId="9" fontId="0" fillId="0" borderId="0" xfId="0" applyNumberFormat="1" applyFill="1"/>
    <xf numFmtId="4" fontId="6" fillId="0" borderId="0" xfId="0" applyNumberFormat="1" applyFont="1" applyFill="1" applyBorder="1" applyAlignment="1" applyProtection="1">
      <alignment horizontal="right" vertical="center" wrapText="1" readingOrder="1"/>
    </xf>
    <xf numFmtId="0" fontId="0" fillId="6" borderId="51" xfId="0" applyFill="1" applyBorder="1" applyAlignment="1">
      <alignment horizontal="center" vertical="center" wrapText="1"/>
    </xf>
    <xf numFmtId="0" fontId="0" fillId="6" borderId="36" xfId="0" applyFill="1" applyBorder="1" applyAlignment="1">
      <alignment horizontal="center" vertical="center" wrapText="1"/>
    </xf>
    <xf numFmtId="0" fontId="0" fillId="6" borderId="61" xfId="0" applyFill="1" applyBorder="1" applyAlignment="1">
      <alignment horizontal="center" vertical="center" wrapText="1"/>
    </xf>
    <xf numFmtId="0" fontId="0" fillId="6" borderId="47" xfId="0"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0" fillId="0" borderId="35" xfId="0" applyBorder="1" applyAlignment="1">
      <alignment horizontal="center"/>
    </xf>
    <xf numFmtId="0" fontId="0" fillId="0" borderId="0" xfId="0" applyAlignment="1">
      <alignment horizontal="center" wrapText="1"/>
    </xf>
    <xf numFmtId="0" fontId="0" fillId="0" borderId="0" xfId="0" applyBorder="1" applyAlignment="1">
      <alignment horizontal="center"/>
    </xf>
    <xf numFmtId="49" fontId="17" fillId="0" borderId="0" xfId="0" applyNumberFormat="1" applyFont="1" applyBorder="1" applyAlignment="1">
      <alignment horizontal="center"/>
    </xf>
    <xf numFmtId="0" fontId="18" fillId="0" borderId="0" xfId="0" applyFont="1" applyAlignment="1">
      <alignment horizontal="center"/>
    </xf>
    <xf numFmtId="49" fontId="12" fillId="0" borderId="0" xfId="0" applyNumberFormat="1" applyFont="1" applyBorder="1" applyAlignment="1">
      <alignment horizontal="center"/>
    </xf>
    <xf numFmtId="0" fontId="2" fillId="0" borderId="0" xfId="0" applyFont="1" applyFill="1" applyAlignment="1">
      <alignment horizontal="center"/>
    </xf>
    <xf numFmtId="4" fontId="11" fillId="0" borderId="74" xfId="0" applyNumberFormat="1" applyFont="1" applyBorder="1" applyAlignment="1" applyProtection="1">
      <alignment horizontal="center" vertical="center" wrapText="1" readingOrder="1"/>
    </xf>
    <xf numFmtId="4" fontId="11" fillId="0" borderId="43" xfId="0" applyNumberFormat="1" applyFont="1" applyBorder="1" applyAlignment="1" applyProtection="1">
      <alignment horizontal="center" vertical="center" wrapText="1" readingOrder="1"/>
    </xf>
    <xf numFmtId="0" fontId="2" fillId="0" borderId="51" xfId="0" applyFont="1" applyBorder="1" applyAlignment="1">
      <alignment horizontal="left"/>
    </xf>
    <xf numFmtId="0" fontId="2" fillId="0" borderId="35" xfId="0" applyFont="1" applyBorder="1" applyAlignment="1">
      <alignment horizontal="left"/>
    </xf>
    <xf numFmtId="0" fontId="0" fillId="0" borderId="61" xfId="0" applyBorder="1" applyAlignment="1">
      <alignment horizontal="center"/>
    </xf>
    <xf numFmtId="49" fontId="12" fillId="0" borderId="0" xfId="0" applyNumberFormat="1" applyFont="1" applyBorder="1" applyAlignment="1">
      <alignment horizontal="center" vertical="center"/>
    </xf>
    <xf numFmtId="49" fontId="13" fillId="0" borderId="0" xfId="0" applyNumberFormat="1" applyFont="1" applyBorder="1" applyAlignment="1">
      <alignment horizontal="center"/>
    </xf>
    <xf numFmtId="49" fontId="13" fillId="0" borderId="1" xfId="0" applyNumberFormat="1" applyFont="1" applyBorder="1" applyAlignment="1">
      <alignment horizontal="center"/>
    </xf>
    <xf numFmtId="49" fontId="12" fillId="0" borderId="1" xfId="0" applyNumberFormat="1" applyFont="1" applyBorder="1" applyAlignment="1">
      <alignment horizontal="center" vertical="center"/>
    </xf>
    <xf numFmtId="0" fontId="0" fillId="0" borderId="51"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55"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61" xfId="0" applyBorder="1" applyAlignment="1">
      <alignment horizontal="left" vertical="top" wrapText="1"/>
    </xf>
    <xf numFmtId="0" fontId="0" fillId="0" borderId="1" xfId="0" applyBorder="1" applyAlignment="1">
      <alignment horizontal="left" vertical="top" wrapText="1"/>
    </xf>
    <xf numFmtId="0" fontId="0" fillId="0" borderId="47" xfId="0" applyBorder="1" applyAlignment="1">
      <alignment horizontal="left" vertical="top" wrapText="1"/>
    </xf>
    <xf numFmtId="0" fontId="7" fillId="0" borderId="42" xfId="0" applyNumberFormat="1" applyFont="1" applyBorder="1" applyAlignment="1" applyProtection="1">
      <alignment horizontal="left" vertical="center" wrapText="1" readingOrder="1"/>
    </xf>
    <xf numFmtId="0" fontId="7" fillId="0" borderId="43" xfId="0" applyNumberFormat="1" applyFont="1" applyBorder="1" applyAlignment="1" applyProtection="1">
      <alignment horizontal="left" vertical="center" wrapText="1" readingOrder="1"/>
    </xf>
    <xf numFmtId="4" fontId="11" fillId="0" borderId="85" xfId="0" applyNumberFormat="1" applyFont="1" applyBorder="1" applyAlignment="1" applyProtection="1">
      <alignment horizontal="center" vertical="center" wrapText="1" readingOrder="1"/>
    </xf>
    <xf numFmtId="4" fontId="11" fillId="0" borderId="89" xfId="0" applyNumberFormat="1" applyFont="1" applyBorder="1" applyAlignment="1" applyProtection="1">
      <alignment horizontal="center" vertical="center" wrapText="1" readingOrder="1"/>
    </xf>
    <xf numFmtId="4" fontId="11" fillId="0" borderId="42" xfId="0" applyNumberFormat="1" applyFont="1" applyBorder="1" applyAlignment="1" applyProtection="1">
      <alignment horizontal="center" vertical="center" wrapText="1" readingOrder="1"/>
    </xf>
    <xf numFmtId="4" fontId="11" fillId="0" borderId="79" xfId="0" applyNumberFormat="1" applyFont="1" applyBorder="1" applyAlignment="1" applyProtection="1">
      <alignment horizontal="center" vertical="center" wrapText="1" readingOrder="1"/>
    </xf>
    <xf numFmtId="4" fontId="11" fillId="0" borderId="34" xfId="0" applyNumberFormat="1" applyFont="1" applyBorder="1" applyAlignment="1" applyProtection="1">
      <alignment horizontal="center" vertical="center" wrapText="1" readingOrder="1"/>
    </xf>
    <xf numFmtId="4" fontId="6" fillId="0" borderId="54" xfId="0" applyNumberFormat="1" applyFont="1" applyBorder="1" applyAlignment="1" applyProtection="1">
      <alignment horizontal="center" vertical="center" wrapText="1" readingOrder="1"/>
    </xf>
    <xf numFmtId="4" fontId="6" fillId="0" borderId="36" xfId="0" applyNumberFormat="1" applyFont="1" applyBorder="1" applyAlignment="1" applyProtection="1">
      <alignment horizontal="center" vertical="center" wrapText="1" readingOrder="1"/>
    </xf>
    <xf numFmtId="0" fontId="7" fillId="0" borderId="85" xfId="0" applyNumberFormat="1" applyFont="1" applyBorder="1" applyAlignment="1" applyProtection="1">
      <alignment vertical="center" wrapText="1" readingOrder="1"/>
    </xf>
    <xf numFmtId="0" fontId="7" fillId="0" borderId="86" xfId="0" applyNumberFormat="1" applyFont="1" applyBorder="1" applyAlignment="1" applyProtection="1">
      <alignment vertical="center" wrapText="1" readingOrder="1"/>
    </xf>
    <xf numFmtId="4" fontId="6" fillId="0" borderId="85" xfId="0" applyNumberFormat="1" applyFont="1" applyBorder="1" applyAlignment="1" applyProtection="1">
      <alignment horizontal="center" vertical="center" wrapText="1" readingOrder="1"/>
    </xf>
    <xf numFmtId="4" fontId="6" fillId="0" borderId="87" xfId="0" applyNumberFormat="1" applyFont="1" applyBorder="1" applyAlignment="1" applyProtection="1">
      <alignment horizontal="center" vertical="center" wrapText="1" readingOrder="1"/>
    </xf>
    <xf numFmtId="4" fontId="6" fillId="0" borderId="88" xfId="0" applyNumberFormat="1" applyFont="1" applyBorder="1" applyAlignment="1" applyProtection="1">
      <alignment horizontal="center" vertical="center" wrapText="1" readingOrder="1"/>
    </xf>
    <xf numFmtId="4" fontId="6" fillId="0" borderId="86" xfId="0" applyNumberFormat="1" applyFont="1" applyBorder="1" applyAlignment="1" applyProtection="1">
      <alignment horizontal="center" vertical="center" wrapText="1" readingOrder="1"/>
    </xf>
    <xf numFmtId="4" fontId="6" fillId="0" borderId="58" xfId="0" applyNumberFormat="1" applyFont="1" applyBorder="1" applyAlignment="1" applyProtection="1">
      <alignment horizontal="center" vertical="center" wrapText="1" readingOrder="1"/>
    </xf>
    <xf numFmtId="4" fontId="6" fillId="0" borderId="59" xfId="0" applyNumberFormat="1" applyFont="1" applyBorder="1" applyAlignment="1" applyProtection="1">
      <alignment horizontal="center" vertical="center" wrapText="1" readingOrder="1"/>
    </xf>
    <xf numFmtId="0" fontId="7" fillId="0" borderId="81" xfId="0" applyNumberFormat="1" applyFont="1" applyBorder="1" applyAlignment="1" applyProtection="1">
      <alignment vertical="center" wrapText="1" readingOrder="1"/>
    </xf>
    <xf numFmtId="0" fontId="7" fillId="0" borderId="82" xfId="0" applyNumberFormat="1" applyFont="1" applyBorder="1" applyAlignment="1" applyProtection="1">
      <alignment vertical="center" wrapText="1" readingOrder="1"/>
    </xf>
    <xf numFmtId="4" fontId="6" fillId="0" borderId="51" xfId="0" applyNumberFormat="1" applyFont="1" applyBorder="1" applyAlignment="1" applyProtection="1">
      <alignment horizontal="center" vertical="center" wrapText="1" readingOrder="1"/>
    </xf>
    <xf numFmtId="4" fontId="6" fillId="0" borderId="83" xfId="0" applyNumberFormat="1" applyFont="1" applyBorder="1" applyAlignment="1" applyProtection="1">
      <alignment horizontal="center" vertical="center" wrapText="1" readingOrder="1"/>
    </xf>
    <xf numFmtId="4" fontId="6" fillId="0" borderId="81" xfId="0" applyNumberFormat="1" applyFont="1" applyBorder="1" applyAlignment="1" applyProtection="1">
      <alignment horizontal="center" vertical="center" wrapText="1" readingOrder="1"/>
    </xf>
    <xf numFmtId="4" fontId="6" fillId="0" borderId="84" xfId="0" applyNumberFormat="1" applyFont="1" applyBorder="1" applyAlignment="1" applyProtection="1">
      <alignment horizontal="center" vertical="center" wrapText="1" readingOrder="1"/>
    </xf>
    <xf numFmtId="4" fontId="6" fillId="0" borderId="35" xfId="0" applyNumberFormat="1" applyFont="1" applyBorder="1" applyAlignment="1" applyProtection="1">
      <alignment horizontal="center" vertical="center" wrapText="1" readingOrder="1"/>
    </xf>
    <xf numFmtId="0" fontId="5" fillId="0" borderId="42" xfId="0" applyNumberFormat="1" applyFont="1" applyBorder="1" applyAlignment="1" applyProtection="1">
      <alignment horizontal="left" vertical="center" wrapText="1" readingOrder="1"/>
    </xf>
    <xf numFmtId="0" fontId="5" fillId="0" borderId="62" xfId="0" applyNumberFormat="1" applyFont="1" applyBorder="1" applyAlignment="1" applyProtection="1">
      <alignment horizontal="left" vertical="center" wrapText="1" readingOrder="1"/>
    </xf>
    <xf numFmtId="0" fontId="5" fillId="0" borderId="39" xfId="0" applyNumberFormat="1" applyFont="1" applyBorder="1" applyAlignment="1" applyProtection="1">
      <alignment horizontal="left" vertical="center" wrapText="1" readingOrder="1"/>
    </xf>
    <xf numFmtId="4" fontId="10" fillId="0" borderId="42" xfId="0" applyNumberFormat="1" applyFont="1" applyBorder="1" applyAlignment="1" applyProtection="1">
      <alignment horizontal="right" vertical="center" wrapText="1" readingOrder="1"/>
    </xf>
    <xf numFmtId="4" fontId="10" fillId="0" borderId="79" xfId="0" applyNumberFormat="1" applyFont="1" applyBorder="1" applyAlignment="1" applyProtection="1">
      <alignment horizontal="right" vertical="center" wrapText="1" readingOrder="1"/>
    </xf>
    <xf numFmtId="0" fontId="2" fillId="0" borderId="42" xfId="0" applyFont="1" applyBorder="1" applyAlignment="1">
      <alignment horizontal="center" vertical="center"/>
    </xf>
    <xf numFmtId="0" fontId="2" fillId="0" borderId="34" xfId="0" applyFont="1" applyBorder="1" applyAlignment="1">
      <alignment horizontal="center" vertical="center"/>
    </xf>
    <xf numFmtId="0" fontId="0" fillId="0" borderId="51" xfId="0" applyBorder="1" applyAlignment="1">
      <alignment horizontal="center"/>
    </xf>
    <xf numFmtId="0" fontId="0" fillId="0" borderId="36" xfId="0" applyBorder="1" applyAlignment="1">
      <alignment horizontal="center"/>
    </xf>
    <xf numFmtId="0" fontId="0" fillId="0" borderId="47" xfId="0" applyBorder="1" applyAlignment="1">
      <alignment horizontal="center"/>
    </xf>
    <xf numFmtId="0" fontId="7" fillId="0" borderId="42" xfId="0" applyNumberFormat="1" applyFont="1" applyBorder="1" applyAlignment="1" applyProtection="1">
      <alignment horizontal="center" vertical="center" wrapText="1" readingOrder="1"/>
    </xf>
    <xf numFmtId="0" fontId="7" fillId="0" borderId="34" xfId="0" applyNumberFormat="1" applyFont="1" applyBorder="1" applyAlignment="1" applyProtection="1">
      <alignment horizontal="center" vertical="center" wrapText="1" readingOrder="1"/>
    </xf>
    <xf numFmtId="0" fontId="7" fillId="0" borderId="43" xfId="0" applyNumberFormat="1" applyFont="1" applyBorder="1" applyAlignment="1" applyProtection="1">
      <alignment horizontal="center" vertical="center" wrapText="1" readingOrder="1"/>
    </xf>
    <xf numFmtId="0" fontId="2" fillId="0" borderId="51" xfId="0" applyFont="1" applyBorder="1" applyAlignment="1">
      <alignment horizontal="center"/>
    </xf>
    <xf numFmtId="0" fontId="2" fillId="0" borderId="35"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49" fontId="6" fillId="0" borderId="55" xfId="0" applyNumberFormat="1" applyFont="1" applyFill="1" applyBorder="1" applyAlignment="1" applyProtection="1">
      <alignment horizontal="left" vertical="top" wrapText="1" readingOrder="1"/>
    </xf>
    <xf numFmtId="49" fontId="6" fillId="0" borderId="0" xfId="0" applyNumberFormat="1" applyFont="1" applyFill="1" applyBorder="1" applyAlignment="1" applyProtection="1">
      <alignment horizontal="left" vertical="top" wrapText="1" readingOrder="1"/>
    </xf>
    <xf numFmtId="49" fontId="6" fillId="0" borderId="8" xfId="0" applyNumberFormat="1" applyFont="1" applyFill="1" applyBorder="1" applyAlignment="1" applyProtection="1">
      <alignment horizontal="left" vertical="top" wrapText="1" readingOrder="1"/>
    </xf>
    <xf numFmtId="4" fontId="6" fillId="0" borderId="55" xfId="0" applyNumberFormat="1" applyFont="1" applyFill="1" applyBorder="1" applyAlignment="1" applyProtection="1">
      <alignment horizontal="right" vertical="center" wrapText="1" readingOrder="1"/>
    </xf>
    <xf numFmtId="4" fontId="6" fillId="0" borderId="76" xfId="0" applyNumberFormat="1" applyFont="1" applyFill="1" applyBorder="1" applyAlignment="1" applyProtection="1">
      <alignment horizontal="right" vertical="center" wrapText="1" readingOrder="1"/>
    </xf>
    <xf numFmtId="49" fontId="6" fillId="0" borderId="55" xfId="0" applyNumberFormat="1" applyFont="1" applyFill="1" applyBorder="1" applyAlignment="1" applyProtection="1">
      <alignment horizontal="left" vertical="top" wrapText="1" indent="4" readingOrder="1"/>
    </xf>
    <xf numFmtId="49" fontId="6" fillId="0" borderId="0" xfId="0" applyNumberFormat="1" applyFont="1" applyFill="1" applyBorder="1" applyAlignment="1" applyProtection="1">
      <alignment horizontal="left" vertical="top" wrapText="1" indent="4" readingOrder="1"/>
    </xf>
    <xf numFmtId="49" fontId="6" fillId="0" borderId="8" xfId="0" applyNumberFormat="1" applyFont="1" applyFill="1" applyBorder="1" applyAlignment="1" applyProtection="1">
      <alignment horizontal="left" vertical="top" wrapText="1" indent="4" readingOrder="1"/>
    </xf>
    <xf numFmtId="4" fontId="6" fillId="0" borderId="61" xfId="0" applyNumberFormat="1" applyFont="1" applyFill="1" applyBorder="1" applyAlignment="1" applyProtection="1">
      <alignment horizontal="right" vertical="center" wrapText="1" readingOrder="1"/>
    </xf>
    <xf numFmtId="4" fontId="6" fillId="0" borderId="106" xfId="0" applyNumberFormat="1" applyFont="1" applyFill="1" applyBorder="1" applyAlignment="1" applyProtection="1">
      <alignment horizontal="right" vertical="center" wrapText="1" readingOrder="1"/>
    </xf>
    <xf numFmtId="49" fontId="10" fillId="2" borderId="42" xfId="0" applyNumberFormat="1" applyFont="1" applyFill="1" applyBorder="1" applyAlignment="1" applyProtection="1">
      <alignment horizontal="left" vertical="top" wrapText="1" readingOrder="1"/>
    </xf>
    <xf numFmtId="49" fontId="10" fillId="2" borderId="34" xfId="0" applyNumberFormat="1" applyFont="1" applyFill="1" applyBorder="1" applyAlignment="1" applyProtection="1">
      <alignment horizontal="left" vertical="top" wrapText="1" readingOrder="1"/>
    </xf>
    <xf numFmtId="49" fontId="10" fillId="2" borderId="43" xfId="0" applyNumberFormat="1" applyFont="1" applyFill="1" applyBorder="1" applyAlignment="1" applyProtection="1">
      <alignment horizontal="left" vertical="top" wrapText="1" readingOrder="1"/>
    </xf>
    <xf numFmtId="49" fontId="6" fillId="0" borderId="51" xfId="0" applyNumberFormat="1" applyFont="1" applyFill="1" applyBorder="1" applyAlignment="1" applyProtection="1">
      <alignment horizontal="left" vertical="top" wrapText="1" readingOrder="1"/>
    </xf>
    <xf numFmtId="49" fontId="6" fillId="0" borderId="35" xfId="0" applyNumberFormat="1" applyFont="1" applyFill="1" applyBorder="1" applyAlignment="1" applyProtection="1">
      <alignment horizontal="left" vertical="top" wrapText="1" readingOrder="1"/>
    </xf>
    <xf numFmtId="49" fontId="6" fillId="0" borderId="36" xfId="0" applyNumberFormat="1" applyFont="1" applyFill="1" applyBorder="1" applyAlignment="1" applyProtection="1">
      <alignment horizontal="left" vertical="top" wrapText="1" readingOrder="1"/>
    </xf>
    <xf numFmtId="4" fontId="6" fillId="0" borderId="51" xfId="0" applyNumberFormat="1" applyFont="1" applyFill="1" applyBorder="1" applyAlignment="1" applyProtection="1">
      <alignment horizontal="right" vertical="center" wrapText="1" readingOrder="1"/>
    </xf>
    <xf numFmtId="4" fontId="6" fillId="0" borderId="5" xfId="0" applyNumberFormat="1" applyFont="1" applyFill="1" applyBorder="1" applyAlignment="1" applyProtection="1">
      <alignment horizontal="right" vertical="center" wrapText="1" readingOrder="1"/>
    </xf>
    <xf numFmtId="4" fontId="6" fillId="0" borderId="59" xfId="0" applyNumberFormat="1" applyFont="1" applyFill="1" applyBorder="1" applyAlignment="1" applyProtection="1">
      <alignment horizontal="right" vertical="center" wrapText="1" readingOrder="1"/>
    </xf>
    <xf numFmtId="49" fontId="6" fillId="0" borderId="61" xfId="0" applyNumberFormat="1" applyFont="1" applyFill="1" applyBorder="1" applyAlignment="1" applyProtection="1">
      <alignment horizontal="left" vertical="top" wrapText="1" indent="4" readingOrder="1"/>
    </xf>
    <xf numFmtId="49" fontId="6" fillId="0" borderId="1" xfId="0" applyNumberFormat="1" applyFont="1" applyFill="1" applyBorder="1" applyAlignment="1" applyProtection="1">
      <alignment horizontal="left" vertical="top" wrapText="1" indent="4" readingOrder="1"/>
    </xf>
    <xf numFmtId="49" fontId="6" fillId="0" borderId="47" xfId="0" applyNumberFormat="1" applyFont="1" applyFill="1" applyBorder="1" applyAlignment="1" applyProtection="1">
      <alignment horizontal="left" vertical="top" wrapText="1" indent="4" readingOrder="1"/>
    </xf>
    <xf numFmtId="4" fontId="6" fillId="0" borderId="109" xfId="0" applyNumberFormat="1" applyFont="1" applyFill="1" applyBorder="1" applyAlignment="1" applyProtection="1">
      <alignment horizontal="right" vertical="center" wrapText="1" readingOrder="1"/>
    </xf>
    <xf numFmtId="49" fontId="6" fillId="0" borderId="0" xfId="0" applyNumberFormat="1" applyFont="1" applyBorder="1" applyAlignment="1" applyProtection="1">
      <alignment horizontal="left" vertical="top" wrapText="1" indent="4" readingOrder="1"/>
    </xf>
    <xf numFmtId="4" fontId="6" fillId="0" borderId="0" xfId="0" applyNumberFormat="1" applyFont="1" applyBorder="1" applyAlignment="1" applyProtection="1">
      <alignment horizontal="right" vertical="center" wrapText="1" readingOrder="1"/>
    </xf>
    <xf numFmtId="49" fontId="6" fillId="0" borderId="55" xfId="0" applyNumberFormat="1" applyFont="1" applyFill="1" applyBorder="1" applyAlignment="1" applyProtection="1">
      <alignment horizontal="left" wrapText="1" readingOrder="1"/>
    </xf>
    <xf numFmtId="49" fontId="6" fillId="0" borderId="0" xfId="0" applyNumberFormat="1" applyFont="1" applyFill="1" applyBorder="1" applyAlignment="1" applyProtection="1">
      <alignment horizontal="left" wrapText="1" readingOrder="1"/>
    </xf>
    <xf numFmtId="49" fontId="6" fillId="0" borderId="8" xfId="0" applyNumberFormat="1" applyFont="1" applyFill="1" applyBorder="1" applyAlignment="1" applyProtection="1">
      <alignment horizontal="left" wrapText="1" readingOrder="1"/>
    </xf>
    <xf numFmtId="0" fontId="7" fillId="2" borderId="51" xfId="0" applyNumberFormat="1" applyFont="1" applyFill="1" applyBorder="1" applyAlignment="1" applyProtection="1">
      <alignment horizontal="left" vertical="center" wrapText="1" readingOrder="1"/>
    </xf>
    <xf numFmtId="0" fontId="7" fillId="2" borderId="35" xfId="0" applyNumberFormat="1" applyFont="1" applyFill="1" applyBorder="1" applyAlignment="1" applyProtection="1">
      <alignment horizontal="left" vertical="center" wrapText="1" readingOrder="1"/>
    </xf>
    <xf numFmtId="0" fontId="7" fillId="2" borderId="36" xfId="0" applyNumberFormat="1" applyFont="1" applyFill="1" applyBorder="1" applyAlignment="1" applyProtection="1">
      <alignment horizontal="left" vertical="center" wrapText="1" readingOrder="1"/>
    </xf>
    <xf numFmtId="4" fontId="6" fillId="0" borderId="83" xfId="0" applyNumberFormat="1" applyFont="1" applyFill="1" applyBorder="1" applyAlignment="1" applyProtection="1">
      <alignment horizontal="right" vertical="center" wrapText="1" readingOrder="1"/>
    </xf>
    <xf numFmtId="0" fontId="7" fillId="0" borderId="51" xfId="0" applyNumberFormat="1" applyFont="1" applyBorder="1" applyAlignment="1" applyProtection="1">
      <alignment horizontal="center" vertical="center" wrapText="1" readingOrder="1"/>
    </xf>
    <xf numFmtId="0" fontId="7" fillId="0" borderId="35" xfId="0" applyNumberFormat="1" applyFont="1" applyBorder="1" applyAlignment="1" applyProtection="1">
      <alignment horizontal="center" vertical="center" wrapText="1" readingOrder="1"/>
    </xf>
    <xf numFmtId="0" fontId="7" fillId="0" borderId="36" xfId="0" applyNumberFormat="1" applyFont="1" applyBorder="1" applyAlignment="1" applyProtection="1">
      <alignment horizontal="center" vertical="center" wrapText="1" readingOrder="1"/>
    </xf>
    <xf numFmtId="0" fontId="7" fillId="0" borderId="55" xfId="0" applyNumberFormat="1" applyFont="1" applyBorder="1" applyAlignment="1" applyProtection="1">
      <alignment horizontal="center" vertical="center" wrapText="1" readingOrder="1"/>
    </xf>
    <xf numFmtId="0" fontId="7" fillId="0" borderId="0" xfId="0" applyNumberFormat="1" applyFont="1" applyBorder="1" applyAlignment="1" applyProtection="1">
      <alignment horizontal="center" vertical="center" wrapText="1" readingOrder="1"/>
    </xf>
    <xf numFmtId="0" fontId="7" fillId="0" borderId="8" xfId="0" applyNumberFormat="1" applyFont="1" applyBorder="1" applyAlignment="1" applyProtection="1">
      <alignment horizontal="center" vertical="center" wrapText="1" readingOrder="1"/>
    </xf>
    <xf numFmtId="0" fontId="8" fillId="0" borderId="37" xfId="0" applyNumberFormat="1" applyFont="1" applyBorder="1" applyAlignment="1" applyProtection="1">
      <alignment horizontal="center" vertical="center" wrapText="1" readingOrder="1"/>
    </xf>
    <xf numFmtId="0" fontId="8" fillId="0" borderId="38" xfId="0" applyNumberFormat="1" applyFont="1" applyBorder="1" applyAlignment="1" applyProtection="1">
      <alignment horizontal="center" vertical="center" wrapText="1" readingOrder="1"/>
    </xf>
    <xf numFmtId="0" fontId="8" fillId="0" borderId="39" xfId="0" applyNumberFormat="1" applyFont="1" applyBorder="1" applyAlignment="1" applyProtection="1">
      <alignment horizontal="center" vertical="center" wrapText="1" readingOrder="1"/>
    </xf>
    <xf numFmtId="0" fontId="7" fillId="0" borderId="40" xfId="0" applyNumberFormat="1" applyFont="1" applyBorder="1" applyAlignment="1" applyProtection="1">
      <alignment horizontal="center" vertical="center" wrapText="1" readingOrder="1"/>
    </xf>
    <xf numFmtId="0" fontId="7" fillId="0" borderId="41" xfId="0" applyNumberFormat="1" applyFont="1" applyBorder="1" applyAlignment="1" applyProtection="1">
      <alignment horizontal="center" vertical="center" wrapText="1" readingOrder="1"/>
    </xf>
    <xf numFmtId="0" fontId="7" fillId="0" borderId="2" xfId="0" applyNumberFormat="1" applyFont="1" applyBorder="1" applyAlignment="1" applyProtection="1">
      <alignment horizontal="center" vertical="center" wrapText="1" readingOrder="1"/>
    </xf>
    <xf numFmtId="0" fontId="7" fillId="0" borderId="30" xfId="0" applyNumberFormat="1" applyFont="1" applyBorder="1" applyAlignment="1" applyProtection="1">
      <alignment horizontal="center" vertical="center" wrapText="1" readingOrder="1"/>
    </xf>
    <xf numFmtId="0" fontId="7" fillId="0" borderId="69" xfId="0" applyNumberFormat="1" applyFont="1" applyBorder="1" applyAlignment="1" applyProtection="1">
      <alignment horizontal="center" vertical="center" wrapText="1" readingOrder="1"/>
    </xf>
    <xf numFmtId="0" fontId="7" fillId="0" borderId="17" xfId="0" applyNumberFormat="1" applyFont="1" applyBorder="1" applyAlignment="1" applyProtection="1">
      <alignment horizontal="center" vertical="center" wrapText="1" readingOrder="1"/>
    </xf>
    <xf numFmtId="0" fontId="7" fillId="0" borderId="5" xfId="0" applyNumberFormat="1" applyFont="1" applyBorder="1" applyAlignment="1" applyProtection="1">
      <alignment horizontal="center" vertical="center" wrapText="1" readingOrder="1"/>
    </xf>
    <xf numFmtId="0" fontId="7" fillId="0" borderId="6" xfId="0" applyNumberFormat="1" applyFont="1" applyBorder="1" applyAlignment="1" applyProtection="1">
      <alignment horizontal="center" vertical="center" wrapText="1" readingOrder="1"/>
    </xf>
    <xf numFmtId="0" fontId="7" fillId="0" borderId="7" xfId="0" applyNumberFormat="1" applyFont="1" applyBorder="1" applyAlignment="1" applyProtection="1">
      <alignment horizontal="center" vertical="center" wrapText="1" readingOrder="1"/>
    </xf>
    <xf numFmtId="0" fontId="7" fillId="0" borderId="68" xfId="0" applyNumberFormat="1" applyFont="1" applyBorder="1" applyAlignment="1" applyProtection="1">
      <alignment horizontal="center" vertical="center" wrapText="1" readingOrder="1"/>
    </xf>
    <xf numFmtId="0" fontId="7" fillId="0" borderId="62" xfId="0" applyNumberFormat="1" applyFont="1" applyBorder="1" applyAlignment="1" applyProtection="1">
      <alignment horizontal="center" vertical="center" wrapText="1" readingOrder="1"/>
    </xf>
    <xf numFmtId="0" fontId="7" fillId="0" borderId="46" xfId="0" applyNumberFormat="1" applyFont="1" applyBorder="1" applyAlignment="1" applyProtection="1">
      <alignment horizontal="center" vertical="center" wrapText="1" readingOrder="1"/>
    </xf>
    <xf numFmtId="0" fontId="7" fillId="0" borderId="50" xfId="0" applyNumberFormat="1" applyFont="1" applyBorder="1" applyAlignment="1" applyProtection="1">
      <alignment horizontal="center" vertical="center" wrapText="1" readingOrder="1"/>
    </xf>
    <xf numFmtId="49" fontId="6" fillId="0" borderId="55" xfId="0" applyNumberFormat="1" applyFont="1" applyBorder="1" applyAlignment="1" applyProtection="1">
      <alignment horizontal="left" vertical="top" wrapText="1" indent="1" readingOrder="1"/>
    </xf>
    <xf numFmtId="49" fontId="6" fillId="0" borderId="56" xfId="0" applyNumberFormat="1" applyFont="1" applyBorder="1" applyAlignment="1" applyProtection="1">
      <alignment horizontal="left" vertical="top" wrapText="1" indent="1" readingOrder="1"/>
    </xf>
    <xf numFmtId="49" fontId="6" fillId="0" borderId="57" xfId="0" applyNumberFormat="1" applyFont="1" applyBorder="1" applyAlignment="1" applyProtection="1">
      <alignment horizontal="left" vertical="top" wrapText="1" indent="1" readingOrder="1"/>
    </xf>
    <xf numFmtId="49" fontId="6" fillId="0" borderId="58" xfId="0" applyNumberFormat="1" applyFont="1" applyBorder="1" applyAlignment="1" applyProtection="1">
      <alignment horizontal="center" vertical="top" wrapText="1" readingOrder="1"/>
    </xf>
    <xf numFmtId="49" fontId="6" fillId="0" borderId="8" xfId="0" applyNumberFormat="1" applyFont="1" applyBorder="1" applyAlignment="1" applyProtection="1">
      <alignment horizontal="center" vertical="top" wrapText="1" readingOrder="1"/>
    </xf>
    <xf numFmtId="3" fontId="6" fillId="0" borderId="61" xfId="0" applyNumberFormat="1" applyFont="1" applyBorder="1" applyAlignment="1" applyProtection="1">
      <alignment horizontal="center" vertical="top" wrapText="1" readingOrder="1"/>
    </xf>
    <xf numFmtId="3" fontId="6" fillId="0" borderId="100" xfId="0" applyNumberFormat="1" applyFont="1" applyBorder="1" applyAlignment="1" applyProtection="1">
      <alignment horizontal="center" vertical="top" wrapText="1" readingOrder="1"/>
    </xf>
    <xf numFmtId="3" fontId="6" fillId="0" borderId="101" xfId="0" applyNumberFormat="1" applyFont="1" applyBorder="1" applyAlignment="1" applyProtection="1">
      <alignment horizontal="center" vertical="top" wrapText="1" readingOrder="1"/>
    </xf>
    <xf numFmtId="3" fontId="6" fillId="0" borderId="102" xfId="0" applyNumberFormat="1" applyFont="1" applyBorder="1" applyAlignment="1" applyProtection="1">
      <alignment horizontal="center" vertical="top" wrapText="1" readingOrder="1"/>
    </xf>
    <xf numFmtId="3" fontId="6" fillId="0" borderId="1" xfId="0" applyNumberFormat="1" applyFont="1" applyFill="1" applyBorder="1" applyAlignment="1" applyProtection="1">
      <alignment horizontal="center" vertical="top" wrapText="1" readingOrder="1"/>
    </xf>
    <xf numFmtId="3" fontId="6" fillId="0" borderId="102" xfId="0" applyNumberFormat="1" applyFont="1" applyFill="1" applyBorder="1" applyAlignment="1" applyProtection="1">
      <alignment horizontal="center" vertical="top" wrapText="1" readingOrder="1"/>
    </xf>
    <xf numFmtId="3" fontId="6" fillId="0" borderId="103" xfId="0" applyNumberFormat="1" applyFont="1" applyFill="1" applyBorder="1" applyAlignment="1" applyProtection="1">
      <alignment horizontal="center" vertical="top" wrapText="1" readingOrder="1"/>
    </xf>
    <xf numFmtId="3" fontId="6" fillId="0" borderId="0" xfId="0" applyNumberFormat="1" applyFont="1" applyFill="1" applyBorder="1" applyAlignment="1" applyProtection="1">
      <alignment horizontal="center" vertical="top" wrapText="1" readingOrder="1"/>
    </xf>
    <xf numFmtId="3" fontId="6" fillId="0" borderId="56" xfId="0" applyNumberFormat="1" applyFont="1" applyFill="1" applyBorder="1" applyAlignment="1" applyProtection="1">
      <alignment horizontal="center" vertical="top" wrapText="1" readingOrder="1"/>
    </xf>
    <xf numFmtId="0" fontId="5" fillId="0" borderId="42" xfId="0" applyNumberFormat="1" applyFont="1" applyBorder="1" applyAlignment="1" applyProtection="1">
      <alignment horizontal="center" vertical="center" wrapText="1" readingOrder="1"/>
    </xf>
    <xf numFmtId="0" fontId="5" fillId="0" borderId="34" xfId="0" applyNumberFormat="1" applyFont="1" applyBorder="1" applyAlignment="1" applyProtection="1">
      <alignment horizontal="center" vertical="center" wrapText="1" readingOrder="1"/>
    </xf>
    <xf numFmtId="0" fontId="5" fillId="0" borderId="43" xfId="0" applyNumberFormat="1" applyFont="1" applyBorder="1" applyAlignment="1" applyProtection="1">
      <alignment horizontal="center" vertical="center" wrapText="1" readingOrder="1"/>
    </xf>
    <xf numFmtId="4" fontId="5" fillId="0" borderId="42" xfId="0" applyNumberFormat="1" applyFont="1" applyBorder="1" applyAlignment="1" applyProtection="1">
      <alignment horizontal="center" vertical="center" wrapText="1" readingOrder="1"/>
    </xf>
    <xf numFmtId="4" fontId="5" fillId="0" borderId="34" xfId="0" applyNumberFormat="1" applyFont="1" applyBorder="1" applyAlignment="1" applyProtection="1">
      <alignment horizontal="center" vertical="center" wrapText="1" readingOrder="1"/>
    </xf>
    <xf numFmtId="4" fontId="5" fillId="0" borderId="43" xfId="0" applyNumberFormat="1" applyFont="1" applyBorder="1" applyAlignment="1" applyProtection="1">
      <alignment horizontal="center" vertical="center" wrapText="1" readingOrder="1"/>
    </xf>
    <xf numFmtId="3" fontId="6" fillId="0" borderId="55" xfId="0" applyNumberFormat="1" applyFont="1" applyBorder="1" applyAlignment="1" applyProtection="1">
      <alignment horizontal="center" vertical="top" wrapText="1" readingOrder="1"/>
    </xf>
    <xf numFmtId="3" fontId="6" fillId="0" borderId="57" xfId="0" applyNumberFormat="1" applyFont="1" applyBorder="1" applyAlignment="1" applyProtection="1">
      <alignment horizontal="center" vertical="top" wrapText="1" readingOrder="1"/>
    </xf>
    <xf numFmtId="3" fontId="6" fillId="0" borderId="58" xfId="0" applyNumberFormat="1" applyFont="1" applyBorder="1" applyAlignment="1" applyProtection="1">
      <alignment horizontal="center" vertical="top" wrapText="1" readingOrder="1"/>
    </xf>
    <xf numFmtId="3" fontId="6" fillId="0" borderId="56" xfId="0" applyNumberFormat="1" applyFont="1" applyBorder="1" applyAlignment="1" applyProtection="1">
      <alignment horizontal="center" vertical="top" wrapText="1" readingOrder="1"/>
    </xf>
    <xf numFmtId="3" fontId="6" fillId="0" borderId="60" xfId="0" applyNumberFormat="1" applyFont="1" applyBorder="1" applyAlignment="1" applyProtection="1">
      <alignment horizontal="center" vertical="top" wrapText="1" readingOrder="1"/>
    </xf>
    <xf numFmtId="3" fontId="6" fillId="0" borderId="0" xfId="0" applyNumberFormat="1" applyFont="1" applyBorder="1" applyAlignment="1" applyProtection="1">
      <alignment horizontal="center" vertical="top" wrapText="1" readingOrder="1"/>
    </xf>
    <xf numFmtId="49" fontId="10" fillId="0" borderId="55" xfId="0" applyNumberFormat="1" applyFont="1" applyBorder="1" applyAlignment="1" applyProtection="1">
      <alignment horizontal="left" vertical="top" wrapText="1" readingOrder="1"/>
    </xf>
    <xf numFmtId="49" fontId="10" fillId="0" borderId="0" xfId="0" applyNumberFormat="1" applyFont="1" applyBorder="1" applyAlignment="1" applyProtection="1">
      <alignment horizontal="left" vertical="top" wrapText="1" readingOrder="1"/>
    </xf>
    <xf numFmtId="49" fontId="10" fillId="0" borderId="59" xfId="0" applyNumberFormat="1" applyFont="1" applyBorder="1" applyAlignment="1" applyProtection="1">
      <alignment horizontal="left" vertical="top" wrapText="1" readingOrder="1"/>
    </xf>
    <xf numFmtId="49" fontId="6" fillId="0" borderId="0" xfId="0" applyNumberFormat="1" applyFont="1" applyBorder="1" applyAlignment="1" applyProtection="1">
      <alignment horizontal="center" vertical="top" wrapText="1" readingOrder="1"/>
    </xf>
    <xf numFmtId="49" fontId="6" fillId="0" borderId="56" xfId="0" applyNumberFormat="1" applyFont="1" applyBorder="1" applyAlignment="1" applyProtection="1">
      <alignment horizontal="center" vertical="top" wrapText="1" readingOrder="1"/>
    </xf>
    <xf numFmtId="3" fontId="6" fillId="0" borderId="59" xfId="0" applyNumberFormat="1" applyFont="1" applyBorder="1" applyAlignment="1" applyProtection="1">
      <alignment horizontal="center" vertical="top" wrapText="1" readingOrder="1"/>
    </xf>
    <xf numFmtId="3" fontId="6" fillId="0" borderId="58" xfId="0" applyNumberFormat="1" applyFont="1" applyFill="1" applyBorder="1" applyAlignment="1" applyProtection="1">
      <alignment horizontal="center" vertical="top" wrapText="1" readingOrder="1"/>
    </xf>
    <xf numFmtId="3" fontId="6" fillId="0" borderId="57" xfId="0" applyNumberFormat="1" applyFont="1" applyFill="1" applyBorder="1" applyAlignment="1" applyProtection="1">
      <alignment horizontal="center" vertical="top" wrapText="1" readingOrder="1"/>
    </xf>
    <xf numFmtId="49" fontId="10" fillId="0" borderId="56" xfId="0" applyNumberFormat="1" applyFont="1" applyBorder="1" applyAlignment="1" applyProtection="1">
      <alignment horizontal="left" vertical="top" wrapText="1" readingOrder="1"/>
    </xf>
    <xf numFmtId="49" fontId="10" fillId="0" borderId="57" xfId="0" applyNumberFormat="1" applyFont="1" applyBorder="1" applyAlignment="1" applyProtection="1">
      <alignment horizontal="left" vertical="top" wrapText="1" readingOrder="1"/>
    </xf>
    <xf numFmtId="0" fontId="9" fillId="0" borderId="58" xfId="0" applyNumberFormat="1" applyFont="1" applyBorder="1" applyAlignment="1" applyProtection="1">
      <alignment horizontal="left" vertical="top" wrapText="1" readingOrder="1"/>
    </xf>
    <xf numFmtId="0" fontId="9" fillId="0" borderId="60" xfId="0" applyNumberFormat="1" applyFont="1" applyBorder="1" applyAlignment="1" applyProtection="1">
      <alignment horizontal="left" vertical="top" wrapText="1" readingOrder="1"/>
    </xf>
    <xf numFmtId="0" fontId="9" fillId="0" borderId="55" xfId="0" applyNumberFormat="1" applyFont="1" applyBorder="1" applyAlignment="1" applyProtection="1">
      <alignment horizontal="left" vertical="top" wrapText="1" readingOrder="1"/>
    </xf>
    <xf numFmtId="0" fontId="9" fillId="0" borderId="57" xfId="0" applyNumberFormat="1" applyFont="1" applyBorder="1" applyAlignment="1" applyProtection="1">
      <alignment horizontal="left" vertical="top" wrapText="1" readingOrder="1"/>
    </xf>
    <xf numFmtId="0" fontId="9" fillId="0" borderId="0" xfId="0" applyNumberFormat="1" applyFont="1" applyFill="1" applyBorder="1" applyAlignment="1" applyProtection="1">
      <alignment horizontal="left" vertical="top" wrapText="1" readingOrder="1"/>
    </xf>
    <xf numFmtId="0" fontId="9" fillId="0" borderId="56" xfId="0" applyNumberFormat="1" applyFont="1" applyFill="1" applyBorder="1" applyAlignment="1" applyProtection="1">
      <alignment horizontal="left" vertical="top" wrapText="1" readingOrder="1"/>
    </xf>
    <xf numFmtId="0" fontId="9" fillId="0" borderId="56" xfId="0" applyNumberFormat="1" applyFont="1" applyBorder="1" applyAlignment="1" applyProtection="1">
      <alignment horizontal="left" vertical="top" wrapText="1" readingOrder="1"/>
    </xf>
    <xf numFmtId="0" fontId="9" fillId="0" borderId="0" xfId="0" applyNumberFormat="1" applyFont="1" applyBorder="1" applyAlignment="1" applyProtection="1">
      <alignment horizontal="left" vertical="top" wrapText="1" readingOrder="1"/>
    </xf>
    <xf numFmtId="49" fontId="5" fillId="0" borderId="91" xfId="0" applyNumberFormat="1" applyFont="1" applyBorder="1" applyAlignment="1" applyProtection="1">
      <alignment horizontal="left" vertical="top" wrapText="1" readingOrder="1"/>
    </xf>
    <xf numFmtId="49" fontId="5" fillId="0" borderId="92" xfId="0" applyNumberFormat="1" applyFont="1" applyBorder="1" applyAlignment="1" applyProtection="1">
      <alignment horizontal="left" vertical="top" wrapText="1" readingOrder="1"/>
    </xf>
    <xf numFmtId="49" fontId="5" fillId="0" borderId="93" xfId="0" applyNumberFormat="1" applyFont="1" applyBorder="1" applyAlignment="1" applyProtection="1">
      <alignment horizontal="left" vertical="top" wrapText="1" readingOrder="1"/>
    </xf>
    <xf numFmtId="49" fontId="6" fillId="0" borderId="92" xfId="0" applyNumberFormat="1" applyFont="1" applyBorder="1" applyAlignment="1" applyProtection="1">
      <alignment horizontal="center" vertical="top" wrapText="1" readingOrder="1"/>
    </xf>
    <xf numFmtId="49" fontId="6" fillId="0" borderId="94" xfId="0" applyNumberFormat="1" applyFont="1" applyBorder="1" applyAlignment="1" applyProtection="1">
      <alignment horizontal="center" vertical="top" wrapText="1" readingOrder="1"/>
    </xf>
    <xf numFmtId="3" fontId="6" fillId="0" borderId="81" xfId="0" applyNumberFormat="1" applyFont="1" applyBorder="1" applyAlignment="1" applyProtection="1">
      <alignment horizontal="center" vertical="top" wrapText="1" readingOrder="1"/>
    </xf>
    <xf numFmtId="3" fontId="6" fillId="0" borderId="96" xfId="0" applyNumberFormat="1" applyFont="1" applyBorder="1" applyAlignment="1" applyProtection="1">
      <alignment horizontal="center" vertical="top" wrapText="1" readingOrder="1"/>
    </xf>
    <xf numFmtId="3" fontId="6" fillId="0" borderId="97" xfId="0" applyNumberFormat="1" applyFont="1" applyBorder="1" applyAlignment="1" applyProtection="1">
      <alignment horizontal="center" vertical="top" wrapText="1" readingOrder="1"/>
    </xf>
    <xf numFmtId="3" fontId="6" fillId="0" borderId="98" xfId="0" applyNumberFormat="1" applyFont="1" applyBorder="1" applyAlignment="1" applyProtection="1">
      <alignment horizontal="center" vertical="top" wrapText="1" readingOrder="1"/>
    </xf>
    <xf numFmtId="3" fontId="6" fillId="0" borderId="90" xfId="0" applyNumberFormat="1" applyFont="1" applyBorder="1" applyAlignment="1" applyProtection="1">
      <alignment horizontal="center" vertical="top" wrapText="1" readingOrder="1"/>
    </xf>
    <xf numFmtId="3" fontId="6" fillId="0" borderId="99" xfId="0" applyNumberFormat="1" applyFont="1" applyBorder="1" applyAlignment="1" applyProtection="1">
      <alignment horizontal="center" vertical="top" wrapText="1" readingOrder="1"/>
    </xf>
    <xf numFmtId="3" fontId="6" fillId="0" borderId="92" xfId="0" applyNumberFormat="1" applyFont="1" applyBorder="1" applyAlignment="1" applyProtection="1">
      <alignment horizontal="center" vertical="top" wrapText="1" readingOrder="1"/>
    </xf>
    <xf numFmtId="3" fontId="6" fillId="0" borderId="94" xfId="0" applyNumberFormat="1" applyFont="1" applyBorder="1" applyAlignment="1" applyProtection="1">
      <alignment horizontal="center" vertical="top" wrapText="1" readingOrder="1"/>
    </xf>
    <xf numFmtId="0" fontId="5" fillId="0" borderId="2" xfId="0" applyNumberFormat="1" applyFont="1" applyBorder="1" applyAlignment="1" applyProtection="1">
      <alignment horizontal="left" vertical="center" wrapText="1" readingOrder="1"/>
    </xf>
    <xf numFmtId="0" fontId="5" fillId="0" borderId="3" xfId="0" applyNumberFormat="1" applyFont="1" applyBorder="1" applyAlignment="1" applyProtection="1">
      <alignment horizontal="left" vertical="center" wrapText="1" readingOrder="1"/>
    </xf>
    <xf numFmtId="0" fontId="5" fillId="0" borderId="4" xfId="0" applyNumberFormat="1" applyFont="1" applyBorder="1" applyAlignment="1" applyProtection="1">
      <alignment horizontal="left" vertical="center" wrapText="1" readingOrder="1"/>
    </xf>
    <xf numFmtId="49" fontId="14" fillId="0" borderId="27" xfId="0" applyNumberFormat="1" applyFont="1" applyFill="1" applyBorder="1" applyAlignment="1" applyProtection="1">
      <alignment horizontal="left" vertical="center" wrapText="1" indent="1" readingOrder="1"/>
    </xf>
    <xf numFmtId="49" fontId="14" fillId="0" borderId="29" xfId="0" applyNumberFormat="1" applyFont="1" applyFill="1" applyBorder="1" applyAlignment="1" applyProtection="1">
      <alignment horizontal="left" vertical="center" wrapText="1" indent="1" readingOrder="1"/>
    </xf>
    <xf numFmtId="49" fontId="14" fillId="0" borderId="30" xfId="0" applyNumberFormat="1" applyFont="1" applyFill="1" applyBorder="1" applyAlignment="1" applyProtection="1">
      <alignment horizontal="left" vertical="center" wrapText="1" indent="1" readingOrder="1"/>
    </xf>
    <xf numFmtId="0" fontId="5" fillId="0" borderId="31" xfId="0" applyNumberFormat="1" applyFont="1" applyBorder="1" applyAlignment="1" applyProtection="1">
      <alignment horizontal="left" vertical="center" wrapText="1" readingOrder="1"/>
    </xf>
    <xf numFmtId="0" fontId="5" fillId="0" borderId="32" xfId="0" applyNumberFormat="1" applyFont="1" applyBorder="1" applyAlignment="1" applyProtection="1">
      <alignment horizontal="left" vertical="center" wrapText="1" readingOrder="1"/>
    </xf>
    <xf numFmtId="0" fontId="5" fillId="0" borderId="33" xfId="0" applyNumberFormat="1" applyFont="1" applyBorder="1" applyAlignment="1" applyProtection="1">
      <alignment horizontal="left" vertical="center" wrapText="1" readingOrder="1"/>
    </xf>
    <xf numFmtId="0" fontId="5" fillId="0" borderId="5" xfId="0" applyNumberFormat="1" applyFont="1" applyBorder="1" applyAlignment="1" applyProtection="1">
      <alignment horizontal="left" vertical="center" wrapText="1" indent="1" readingOrder="1"/>
    </xf>
    <xf numFmtId="0" fontId="5" fillId="0" borderId="6" xfId="0" applyNumberFormat="1" applyFont="1" applyBorder="1" applyAlignment="1" applyProtection="1">
      <alignment horizontal="left" vertical="center" wrapText="1" indent="1" readingOrder="1"/>
    </xf>
    <xf numFmtId="0" fontId="5" fillId="0" borderId="7" xfId="0" applyNumberFormat="1" applyFont="1" applyBorder="1" applyAlignment="1" applyProtection="1">
      <alignment horizontal="left" vertical="center" wrapText="1" indent="1" readingOrder="1"/>
    </xf>
    <xf numFmtId="0" fontId="0" fillId="0" borderId="34" xfId="0" applyBorder="1" applyAlignment="1">
      <alignment horizontal="center"/>
    </xf>
    <xf numFmtId="0" fontId="7" fillId="0" borderId="61" xfId="0" applyNumberFormat="1" applyFont="1" applyBorder="1" applyAlignment="1" applyProtection="1">
      <alignment horizontal="center" vertical="center" wrapText="1" readingOrder="1"/>
    </xf>
    <xf numFmtId="0" fontId="7" fillId="0" borderId="1" xfId="0" applyNumberFormat="1" applyFont="1" applyBorder="1" applyAlignment="1" applyProtection="1">
      <alignment horizontal="center" vertical="center" wrapText="1" readingOrder="1"/>
    </xf>
    <xf numFmtId="0" fontId="7" fillId="0" borderId="47" xfId="0" applyNumberFormat="1" applyFont="1" applyBorder="1" applyAlignment="1" applyProtection="1">
      <alignment horizontal="center" vertical="center" wrapText="1" readingOrder="1"/>
    </xf>
    <xf numFmtId="0" fontId="7" fillId="0" borderId="31" xfId="0" applyNumberFormat="1" applyFont="1" applyBorder="1" applyAlignment="1" applyProtection="1">
      <alignment horizontal="center" vertical="center" wrapText="1" readingOrder="1"/>
    </xf>
    <xf numFmtId="0" fontId="7" fillId="0" borderId="48" xfId="0" applyNumberFormat="1" applyFont="1" applyBorder="1" applyAlignment="1" applyProtection="1">
      <alignment horizontal="center" vertical="center" wrapText="1" readingOrder="1"/>
    </xf>
    <xf numFmtId="0" fontId="7" fillId="0" borderId="37" xfId="0" applyNumberFormat="1" applyFont="1" applyBorder="1" applyAlignment="1" applyProtection="1">
      <alignment horizontal="center" vertical="center" wrapText="1" readingOrder="1"/>
    </xf>
    <xf numFmtId="0" fontId="7" fillId="0" borderId="38" xfId="0" applyNumberFormat="1" applyFont="1" applyBorder="1" applyAlignment="1" applyProtection="1">
      <alignment horizontal="center" vertical="center" wrapText="1" readingOrder="1"/>
    </xf>
    <xf numFmtId="0" fontId="7" fillId="0" borderId="39" xfId="0" applyNumberFormat="1" applyFont="1" applyBorder="1" applyAlignment="1" applyProtection="1">
      <alignment horizontal="center" vertical="center" wrapText="1" readingOrder="1"/>
    </xf>
    <xf numFmtId="0" fontId="7" fillId="0" borderId="44" xfId="0" applyNumberFormat="1" applyFont="1" applyBorder="1" applyAlignment="1" applyProtection="1">
      <alignment horizontal="center" vertical="center" wrapText="1" readingOrder="1"/>
    </xf>
    <xf numFmtId="0" fontId="7" fillId="0" borderId="49" xfId="0" applyNumberFormat="1" applyFont="1" applyBorder="1" applyAlignment="1" applyProtection="1">
      <alignment horizontal="center" vertical="center" wrapText="1" readingOrder="1"/>
    </xf>
    <xf numFmtId="0" fontId="7" fillId="0" borderId="9" xfId="0" applyNumberFormat="1" applyFont="1" applyBorder="1" applyAlignment="1" applyProtection="1">
      <alignment horizontal="center" vertical="center" wrapText="1" readingOrder="1"/>
    </xf>
    <xf numFmtId="0" fontId="7" fillId="0" borderId="45" xfId="0" applyNumberFormat="1" applyFont="1" applyBorder="1" applyAlignment="1" applyProtection="1">
      <alignment horizontal="center" vertical="center" wrapText="1" readingOrder="1"/>
    </xf>
    <xf numFmtId="0" fontId="5" fillId="0" borderId="18" xfId="0" applyNumberFormat="1" applyFont="1" applyBorder="1" applyAlignment="1" applyProtection="1">
      <alignment horizontal="center" vertical="center" wrapText="1" readingOrder="1"/>
    </xf>
    <xf numFmtId="0" fontId="5" fillId="0" borderId="13" xfId="0" applyNumberFormat="1" applyFont="1" applyBorder="1" applyAlignment="1" applyProtection="1">
      <alignment horizontal="center" vertical="center" wrapText="1" readingOrder="1"/>
    </xf>
    <xf numFmtId="4" fontId="6" fillId="0" borderId="19" xfId="0" applyNumberFormat="1" applyFont="1" applyBorder="1" applyAlignment="1" applyProtection="1">
      <alignment horizontal="center" vertical="center" wrapText="1" readingOrder="1"/>
    </xf>
    <xf numFmtId="4" fontId="6" fillId="0" borderId="20" xfId="0" applyNumberFormat="1" applyFont="1" applyBorder="1" applyAlignment="1" applyProtection="1">
      <alignment horizontal="center" vertical="center" wrapText="1" readingOrder="1"/>
    </xf>
    <xf numFmtId="4" fontId="6" fillId="0" borderId="21" xfId="0" applyNumberFormat="1" applyFont="1" applyBorder="1" applyAlignment="1" applyProtection="1">
      <alignment horizontal="center" vertical="center" wrapText="1" readingOrder="1"/>
    </xf>
    <xf numFmtId="0" fontId="5" fillId="0" borderId="19" xfId="0" applyNumberFormat="1" applyFont="1" applyBorder="1" applyAlignment="1" applyProtection="1">
      <alignment horizontal="center" vertical="center" wrapText="1" readingOrder="1"/>
    </xf>
    <xf numFmtId="0" fontId="5" fillId="0" borderId="21" xfId="0" applyNumberFormat="1" applyFont="1" applyBorder="1" applyAlignment="1" applyProtection="1">
      <alignment horizontal="center" vertical="center" wrapText="1" readingOrder="1"/>
    </xf>
    <xf numFmtId="4" fontId="6" fillId="0" borderId="23" xfId="0" applyNumberFormat="1" applyFont="1" applyBorder="1" applyAlignment="1" applyProtection="1">
      <alignment horizontal="center" vertical="center" wrapText="1" readingOrder="1"/>
    </xf>
    <xf numFmtId="0" fontId="5" fillId="0" borderId="24" xfId="0" applyNumberFormat="1" applyFont="1" applyBorder="1" applyAlignment="1" applyProtection="1">
      <alignment horizontal="center" vertical="center" wrapText="1" readingOrder="1"/>
    </xf>
    <xf numFmtId="0" fontId="5" fillId="0" borderId="25" xfId="0" applyNumberFormat="1" applyFont="1" applyBorder="1" applyAlignment="1" applyProtection="1">
      <alignment horizontal="center" vertical="center" wrapText="1" readingOrder="1"/>
    </xf>
    <xf numFmtId="4" fontId="6" fillId="0" borderId="26" xfId="0" applyNumberFormat="1" applyFont="1" applyBorder="1" applyAlignment="1" applyProtection="1">
      <alignment horizontal="center" vertical="center" wrapText="1" readingOrder="1"/>
    </xf>
    <xf numFmtId="4" fontId="6" fillId="0" borderId="3" xfId="0" applyNumberFormat="1" applyFont="1" applyBorder="1" applyAlignment="1" applyProtection="1">
      <alignment horizontal="center" vertical="center" wrapText="1" readingOrder="1"/>
    </xf>
    <xf numFmtId="4" fontId="6" fillId="0" borderId="27" xfId="0" applyNumberFormat="1" applyFont="1" applyBorder="1" applyAlignment="1" applyProtection="1">
      <alignment horizontal="center" vertical="center" wrapText="1" readingOrder="1"/>
    </xf>
    <xf numFmtId="0" fontId="5" fillId="0" borderId="28" xfId="0" applyNumberFormat="1" applyFont="1" applyBorder="1" applyAlignment="1" applyProtection="1">
      <alignment horizontal="center" vertical="center" wrapText="1" readingOrder="1"/>
    </xf>
    <xf numFmtId="0" fontId="5" fillId="0" borderId="3" xfId="0" applyNumberFormat="1" applyFont="1" applyBorder="1" applyAlignment="1" applyProtection="1">
      <alignment horizontal="center" vertical="center" wrapText="1" readingOrder="1"/>
    </xf>
    <xf numFmtId="0" fontId="5" fillId="0" borderId="4" xfId="0" applyNumberFormat="1" applyFont="1" applyBorder="1" applyAlignment="1" applyProtection="1">
      <alignment horizontal="center" vertical="center" wrapText="1" readingOrder="1"/>
    </xf>
    <xf numFmtId="0" fontId="15" fillId="6" borderId="0" xfId="0" applyFont="1" applyFill="1" applyAlignment="1">
      <alignment horizontal="center"/>
    </xf>
    <xf numFmtId="0" fontId="3" fillId="0" borderId="0" xfId="0" applyNumberFormat="1" applyFont="1" applyAlignment="1" applyProtection="1">
      <alignment horizontal="center" vertical="center" wrapText="1" readingOrder="1"/>
    </xf>
    <xf numFmtId="0" fontId="14" fillId="0" borderId="81" xfId="0" applyNumberFormat="1" applyFont="1" applyFill="1" applyBorder="1" applyAlignment="1" applyProtection="1">
      <alignment horizontal="left" vertical="center" wrapText="1" indent="1" readingOrder="1"/>
    </xf>
    <xf numFmtId="0" fontId="14" fillId="0" borderId="90" xfId="0" applyNumberFormat="1" applyFont="1" applyFill="1" applyBorder="1" applyAlignment="1" applyProtection="1">
      <alignment horizontal="left" vertical="center" wrapText="1" indent="1" readingOrder="1"/>
    </xf>
    <xf numFmtId="0" fontId="14" fillId="0" borderId="82" xfId="0" applyNumberFormat="1" applyFont="1" applyFill="1" applyBorder="1" applyAlignment="1" applyProtection="1">
      <alignment horizontal="left" vertical="center" wrapText="1" indent="1" readingOrder="1"/>
    </xf>
    <xf numFmtId="0" fontId="5" fillId="0" borderId="9" xfId="0" applyNumberFormat="1" applyFont="1" applyBorder="1" applyAlignment="1" applyProtection="1">
      <alignment horizontal="left" vertical="center" wrapText="1" readingOrder="1"/>
    </xf>
    <xf numFmtId="0" fontId="5" fillId="0" borderId="10" xfId="0" applyNumberFormat="1" applyFont="1" applyBorder="1" applyAlignment="1" applyProtection="1">
      <alignment horizontal="left" vertical="center" wrapText="1" readingOrder="1"/>
    </xf>
    <xf numFmtId="0" fontId="5" fillId="0" borderId="11" xfId="0" applyNumberFormat="1" applyFont="1" applyBorder="1" applyAlignment="1" applyProtection="1">
      <alignment horizontal="left" vertical="center" wrapText="1" readingOrder="1"/>
    </xf>
    <xf numFmtId="0" fontId="14" fillId="0" borderId="12" xfId="0" applyNumberFormat="1" applyFont="1" applyFill="1" applyBorder="1" applyAlignment="1" applyProtection="1">
      <alignment horizontal="left" vertical="center" wrapText="1" indent="1" readingOrder="1"/>
    </xf>
    <xf numFmtId="0" fontId="14" fillId="0" borderId="13" xfId="0" applyNumberFormat="1" applyFont="1" applyFill="1" applyBorder="1" applyAlignment="1" applyProtection="1">
      <alignment horizontal="left" vertical="center" wrapText="1" indent="1" readingOrder="1"/>
    </xf>
    <xf numFmtId="0" fontId="14" fillId="0" borderId="14" xfId="0" applyNumberFormat="1" applyFont="1" applyFill="1" applyBorder="1" applyAlignment="1" applyProtection="1">
      <alignment horizontal="left" vertical="center" wrapText="1" indent="1" readingOrder="1"/>
    </xf>
    <xf numFmtId="0" fontId="5" fillId="0" borderId="15" xfId="0" applyNumberFormat="1" applyFont="1" applyFill="1" applyBorder="1" applyAlignment="1" applyProtection="1">
      <alignment horizontal="left" vertical="center" wrapText="1" indent="1" readingOrder="1"/>
    </xf>
    <xf numFmtId="0" fontId="5" fillId="0" borderId="16" xfId="0" applyNumberFormat="1" applyFont="1" applyFill="1" applyBorder="1" applyAlignment="1" applyProtection="1">
      <alignment horizontal="left" vertical="center" wrapText="1" indent="1" readingOrder="1"/>
    </xf>
    <xf numFmtId="0" fontId="5" fillId="0" borderId="17" xfId="0" applyNumberFormat="1" applyFont="1" applyFill="1" applyBorder="1" applyAlignment="1" applyProtection="1">
      <alignment horizontal="left" vertical="center" wrapText="1" indent="1" readingOrder="1"/>
    </xf>
    <xf numFmtId="0" fontId="5" fillId="0" borderId="15" xfId="0" applyNumberFormat="1" applyFont="1" applyBorder="1" applyAlignment="1" applyProtection="1">
      <alignment horizontal="left" vertical="center" wrapText="1" indent="1" readingOrder="1"/>
    </xf>
    <xf numFmtId="0" fontId="5" fillId="0" borderId="16" xfId="0" applyNumberFormat="1" applyFont="1" applyBorder="1" applyAlignment="1" applyProtection="1">
      <alignment horizontal="left" vertical="center" wrapText="1" indent="1" readingOrder="1"/>
    </xf>
    <xf numFmtId="0" fontId="5" fillId="0" borderId="17" xfId="0" applyNumberFormat="1" applyFont="1" applyBorder="1" applyAlignment="1" applyProtection="1">
      <alignment horizontal="left" vertical="center" wrapText="1" indent="1" readingOrder="1"/>
    </xf>
    <xf numFmtId="0" fontId="15" fillId="5" borderId="0" xfId="0" applyFont="1" applyFill="1" applyAlignment="1">
      <alignment horizontal="center"/>
    </xf>
    <xf numFmtId="0" fontId="0" fillId="0" borderId="51"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55"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61" xfId="0" applyBorder="1" applyAlignment="1">
      <alignment horizontal="center" vertical="center" wrapText="1"/>
    </xf>
    <xf numFmtId="0" fontId="0" fillId="0" borderId="1" xfId="0" applyBorder="1" applyAlignment="1">
      <alignment horizontal="center" vertical="center" wrapText="1"/>
    </xf>
    <xf numFmtId="0" fontId="0" fillId="0" borderId="47" xfId="0" applyBorder="1" applyAlignment="1">
      <alignment horizontal="center" vertical="center" wrapText="1"/>
    </xf>
    <xf numFmtId="49" fontId="6" fillId="0" borderId="61" xfId="0" applyNumberFormat="1" applyFont="1" applyBorder="1" applyAlignment="1" applyProtection="1">
      <alignment horizontal="left" vertical="top" wrapText="1" indent="4" readingOrder="1"/>
    </xf>
    <xf numFmtId="49" fontId="6" fillId="0" borderId="1" xfId="0" applyNumberFormat="1" applyFont="1" applyBorder="1" applyAlignment="1" applyProtection="1">
      <alignment horizontal="left" vertical="top" wrapText="1" indent="4" readingOrder="1"/>
    </xf>
    <xf numFmtId="49" fontId="6" fillId="0" borderId="47" xfId="0" applyNumberFormat="1" applyFont="1" applyBorder="1" applyAlignment="1" applyProtection="1">
      <alignment horizontal="left" vertical="top" wrapText="1" indent="4" readingOrder="1"/>
    </xf>
    <xf numFmtId="4" fontId="6" fillId="0" borderId="61" xfId="0" applyNumberFormat="1" applyFont="1" applyBorder="1" applyAlignment="1" applyProtection="1">
      <alignment horizontal="right" vertical="center" wrapText="1" readingOrder="1"/>
    </xf>
    <xf numFmtId="4" fontId="6" fillId="0" borderId="109" xfId="0" applyNumberFormat="1" applyFont="1" applyBorder="1" applyAlignment="1" applyProtection="1">
      <alignment horizontal="right" vertical="center" wrapText="1" readingOrder="1"/>
    </xf>
    <xf numFmtId="3" fontId="6" fillId="0" borderId="1" xfId="0" applyNumberFormat="1" applyFont="1" applyBorder="1" applyAlignment="1" applyProtection="1">
      <alignment horizontal="center" vertical="top" wrapText="1" readingOrder="1"/>
    </xf>
    <xf numFmtId="3" fontId="6" fillId="0" borderId="103" xfId="0" applyNumberFormat="1" applyFont="1" applyBorder="1" applyAlignment="1" applyProtection="1">
      <alignment horizontal="center" vertical="top" wrapText="1" readingOrder="1"/>
    </xf>
    <xf numFmtId="49" fontId="14" fillId="0" borderId="27" xfId="0" applyNumberFormat="1" applyFont="1" applyBorder="1" applyAlignment="1" applyProtection="1">
      <alignment horizontal="left" vertical="center" wrapText="1" indent="1" readingOrder="1"/>
    </xf>
    <xf numFmtId="49" fontId="14" fillId="0" borderId="29" xfId="0" applyNumberFormat="1" applyFont="1" applyBorder="1" applyAlignment="1" applyProtection="1">
      <alignment horizontal="left" vertical="center" wrapText="1" indent="1" readingOrder="1"/>
    </xf>
    <xf numFmtId="49" fontId="14" fillId="0" borderId="30" xfId="0" applyNumberFormat="1" applyFont="1" applyBorder="1" applyAlignment="1" applyProtection="1">
      <alignment horizontal="left" vertical="center" wrapText="1" indent="1" readingOrder="1"/>
    </xf>
    <xf numFmtId="4" fontId="6" fillId="0" borderId="55" xfId="0" applyNumberFormat="1" applyFont="1" applyBorder="1" applyAlignment="1" applyProtection="1">
      <alignment horizontal="right" vertical="center" wrapText="1" readingOrder="1"/>
    </xf>
    <xf numFmtId="4" fontId="6" fillId="0" borderId="76" xfId="0" applyNumberFormat="1" applyFont="1" applyBorder="1" applyAlignment="1" applyProtection="1">
      <alignment horizontal="right" vertical="center" wrapText="1" readingOrder="1"/>
    </xf>
    <xf numFmtId="49" fontId="6" fillId="0" borderId="55" xfId="0" applyNumberFormat="1" applyFont="1" applyBorder="1" applyAlignment="1" applyProtection="1">
      <alignment horizontal="left" vertical="top" wrapText="1" readingOrder="1"/>
    </xf>
    <xf numFmtId="49" fontId="6" fillId="0" borderId="0" xfId="0" applyNumberFormat="1" applyFont="1" applyBorder="1" applyAlignment="1" applyProtection="1">
      <alignment horizontal="left" vertical="top" wrapText="1" readingOrder="1"/>
    </xf>
    <xf numFmtId="49" fontId="6" fillId="0" borderId="8" xfId="0" applyNumberFormat="1" applyFont="1" applyBorder="1" applyAlignment="1" applyProtection="1">
      <alignment horizontal="left" vertical="top" wrapText="1" readingOrder="1"/>
    </xf>
    <xf numFmtId="4" fontId="6" fillId="0" borderId="106" xfId="0" applyNumberFormat="1" applyFont="1" applyBorder="1" applyAlignment="1" applyProtection="1">
      <alignment horizontal="right" vertical="center" wrapText="1" readingOrder="1"/>
    </xf>
    <xf numFmtId="49" fontId="6" fillId="0" borderId="55" xfId="0" applyNumberFormat="1" applyFont="1" applyBorder="1" applyAlignment="1" applyProtection="1">
      <alignment horizontal="left" vertical="top" wrapText="1" indent="4" readingOrder="1"/>
    </xf>
    <xf numFmtId="49" fontId="6" fillId="0" borderId="8" xfId="0" applyNumberFormat="1" applyFont="1" applyBorder="1" applyAlignment="1" applyProtection="1">
      <alignment horizontal="left" vertical="top" wrapText="1" indent="4" readingOrder="1"/>
    </xf>
    <xf numFmtId="4" fontId="6" fillId="0" borderId="51" xfId="0" applyNumberFormat="1" applyFont="1" applyBorder="1" applyAlignment="1" applyProtection="1">
      <alignment horizontal="right" vertical="center" wrapText="1" readingOrder="1"/>
    </xf>
    <xf numFmtId="4" fontId="6" fillId="0" borderId="5" xfId="0" applyNumberFormat="1" applyFont="1" applyBorder="1" applyAlignment="1" applyProtection="1">
      <alignment horizontal="right" vertical="center" wrapText="1" readingOrder="1"/>
    </xf>
    <xf numFmtId="49" fontId="6" fillId="0" borderId="51" xfId="0" applyNumberFormat="1" applyFont="1" applyBorder="1" applyAlignment="1" applyProtection="1">
      <alignment horizontal="left" vertical="top" wrapText="1" readingOrder="1"/>
    </xf>
    <xf numFmtId="49" fontId="6" fillId="0" borderId="35" xfId="0" applyNumberFormat="1" applyFont="1" applyBorder="1" applyAlignment="1" applyProtection="1">
      <alignment horizontal="left" vertical="top" wrapText="1" readingOrder="1"/>
    </xf>
    <xf numFmtId="49" fontId="6" fillId="0" borderId="36" xfId="0" applyNumberFormat="1" applyFont="1" applyBorder="1" applyAlignment="1" applyProtection="1">
      <alignment horizontal="left" vertical="top" wrapText="1" readingOrder="1"/>
    </xf>
    <xf numFmtId="4" fontId="6" fillId="0" borderId="59" xfId="0" applyNumberFormat="1" applyFont="1" applyBorder="1" applyAlignment="1" applyProtection="1">
      <alignment horizontal="right" vertical="center" wrapText="1" readingOrder="1"/>
    </xf>
    <xf numFmtId="0" fontId="0" fillId="6" borderId="55" xfId="0" applyFill="1" applyBorder="1" applyAlignment="1">
      <alignment horizontal="center" vertical="center" wrapText="1"/>
    </xf>
    <xf numFmtId="0" fontId="0" fillId="6" borderId="0" xfId="0" applyFill="1" applyAlignment="1">
      <alignment horizontal="center" vertical="center" wrapText="1"/>
    </xf>
    <xf numFmtId="0" fontId="5" fillId="0" borderId="5" xfId="0" applyNumberFormat="1" applyFont="1" applyFill="1" applyBorder="1" applyAlignment="1" applyProtection="1">
      <alignment horizontal="left" vertical="center" wrapText="1" indent="1" readingOrder="1"/>
    </xf>
    <xf numFmtId="0" fontId="5" fillId="0" borderId="6" xfId="0" applyNumberFormat="1" applyFont="1" applyFill="1" applyBorder="1" applyAlignment="1" applyProtection="1">
      <alignment horizontal="left" vertical="center" wrapText="1" indent="1" readingOrder="1"/>
    </xf>
    <xf numFmtId="0" fontId="5" fillId="0" borderId="7" xfId="0" applyNumberFormat="1" applyFont="1" applyFill="1" applyBorder="1" applyAlignment="1" applyProtection="1">
      <alignment horizontal="left" vertical="center" wrapText="1" indent="1" readingOrder="1"/>
    </xf>
    <xf numFmtId="0" fontId="15" fillId="3" borderId="0" xfId="0" applyFont="1" applyFill="1" applyAlignment="1">
      <alignment horizontal="center"/>
    </xf>
    <xf numFmtId="0" fontId="5" fillId="0" borderId="42" xfId="0" applyNumberFormat="1" applyFont="1" applyFill="1" applyBorder="1" applyAlignment="1" applyProtection="1">
      <alignment horizontal="left" vertical="center" wrapText="1" readingOrder="1"/>
    </xf>
    <xf numFmtId="0" fontId="5" fillId="0" borderId="62" xfId="0" applyNumberFormat="1" applyFont="1" applyFill="1" applyBorder="1" applyAlignment="1" applyProtection="1">
      <alignment horizontal="left" vertical="center" wrapText="1" readingOrder="1"/>
    </xf>
    <xf numFmtId="0" fontId="5" fillId="0" borderId="39" xfId="0" applyNumberFormat="1" applyFont="1" applyFill="1" applyBorder="1" applyAlignment="1" applyProtection="1">
      <alignment horizontal="left" vertical="center" wrapText="1" readingOrder="1"/>
    </xf>
    <xf numFmtId="4" fontId="10" fillId="0" borderId="42" xfId="0" applyNumberFormat="1" applyFont="1" applyFill="1" applyBorder="1" applyAlignment="1" applyProtection="1">
      <alignment horizontal="right" vertical="center" wrapText="1" readingOrder="1"/>
    </xf>
    <xf numFmtId="4" fontId="10" fillId="0" borderId="79" xfId="0" applyNumberFormat="1" applyFont="1" applyFill="1" applyBorder="1" applyAlignment="1" applyProtection="1">
      <alignment horizontal="right" vertical="center" wrapText="1" readingOrder="1"/>
    </xf>
    <xf numFmtId="4" fontId="6" fillId="0" borderId="0" xfId="0" applyNumberFormat="1" applyFont="1" applyFill="1" applyBorder="1" applyAlignment="1" applyProtection="1">
      <alignment horizontal="right" vertical="center" wrapText="1" readingOrder="1"/>
    </xf>
    <xf numFmtId="49" fontId="10" fillId="0" borderId="42" xfId="0" applyNumberFormat="1" applyFont="1" applyFill="1" applyBorder="1" applyAlignment="1" applyProtection="1">
      <alignment horizontal="left" vertical="top" wrapText="1" readingOrder="1"/>
    </xf>
    <xf numFmtId="49" fontId="10" fillId="0" borderId="34" xfId="0" applyNumberFormat="1" applyFont="1" applyFill="1" applyBorder="1" applyAlignment="1" applyProtection="1">
      <alignment horizontal="left" vertical="top" wrapText="1" readingOrder="1"/>
    </xf>
    <xf numFmtId="49" fontId="10" fillId="0" borderId="43" xfId="0" applyNumberFormat="1" applyFont="1" applyFill="1" applyBorder="1" applyAlignment="1" applyProtection="1">
      <alignment horizontal="left" vertical="top" wrapText="1" readingOrder="1"/>
    </xf>
    <xf numFmtId="0" fontId="15" fillId="4" borderId="0" xfId="0" applyFont="1" applyFill="1" applyAlignment="1">
      <alignment horizontal="center"/>
    </xf>
    <xf numFmtId="49" fontId="5" fillId="0" borderId="72" xfId="0" applyNumberFormat="1" applyFont="1" applyBorder="1" applyAlignment="1" applyProtection="1">
      <alignment horizontal="left" vertical="top" wrapText="1" readingOrder="1"/>
    </xf>
    <xf numFmtId="49" fontId="5" fillId="0" borderId="73" xfId="0" applyNumberFormat="1" applyFont="1" applyBorder="1" applyAlignment="1" applyProtection="1">
      <alignment horizontal="left" vertical="top" wrapText="1" readingOrder="1"/>
    </xf>
    <xf numFmtId="4" fontId="5" fillId="0" borderId="73" xfId="0" applyNumberFormat="1" applyFont="1" applyBorder="1" applyAlignment="1" applyProtection="1">
      <alignment horizontal="right" vertical="center" wrapText="1" readingOrder="1"/>
    </xf>
    <xf numFmtId="0" fontId="5" fillId="0" borderId="62" xfId="0" applyNumberFormat="1" applyFont="1" applyBorder="1" applyAlignment="1" applyProtection="1">
      <alignment horizontal="center" vertical="center" wrapText="1" readingOrder="1"/>
    </xf>
    <xf numFmtId="49" fontId="5" fillId="0" borderId="55" xfId="0" applyNumberFormat="1" applyFont="1" applyBorder="1" applyAlignment="1" applyProtection="1">
      <alignment horizontal="left" vertical="top" wrapText="1" readingOrder="1"/>
    </xf>
    <xf numFmtId="49" fontId="5" fillId="0" borderId="0" xfId="0" applyNumberFormat="1" applyFont="1" applyBorder="1" applyAlignment="1" applyProtection="1">
      <alignment horizontal="left" vertical="top" wrapText="1" readingOrder="1"/>
    </xf>
    <xf numFmtId="49" fontId="5" fillId="0" borderId="59" xfId="0" applyNumberFormat="1" applyFont="1" applyBorder="1" applyAlignment="1" applyProtection="1">
      <alignment horizontal="left" vertical="top" wrapText="1" readingOrder="1"/>
    </xf>
    <xf numFmtId="49" fontId="5" fillId="0" borderId="51" xfId="0" applyNumberFormat="1" applyFont="1" applyBorder="1" applyAlignment="1" applyProtection="1">
      <alignment horizontal="left" vertical="top" wrapText="1" readingOrder="1"/>
    </xf>
    <xf numFmtId="49" fontId="5" fillId="0" borderId="52" xfId="0" applyNumberFormat="1" applyFont="1" applyBorder="1" applyAlignment="1" applyProtection="1">
      <alignment horizontal="left" vertical="top" wrapText="1" readingOrder="1"/>
    </xf>
    <xf numFmtId="49" fontId="5" fillId="0" borderId="53" xfId="0" applyNumberFormat="1" applyFont="1" applyBorder="1" applyAlignment="1" applyProtection="1">
      <alignment horizontal="left" vertical="top" wrapText="1" readingOrder="1"/>
    </xf>
    <xf numFmtId="0" fontId="9" fillId="0" borderId="54" xfId="0" applyNumberFormat="1" applyFont="1" applyBorder="1" applyAlignment="1" applyProtection="1">
      <alignment horizontal="left" vertical="top" wrapText="1" readingOrder="1"/>
    </xf>
    <xf numFmtId="0" fontId="9" fillId="0" borderId="7" xfId="0" applyNumberFormat="1" applyFont="1" applyBorder="1" applyAlignment="1" applyProtection="1">
      <alignment horizontal="left" vertical="top" wrapText="1" readingOrder="1"/>
    </xf>
    <xf numFmtId="0" fontId="9" fillId="0" borderId="51" xfId="0" applyNumberFormat="1" applyFont="1" applyBorder="1" applyAlignment="1" applyProtection="1">
      <alignment horizontal="left" vertical="top" wrapText="1" readingOrder="1"/>
    </xf>
    <xf numFmtId="0" fontId="9" fillId="0" borderId="53" xfId="0" applyNumberFormat="1" applyFont="1" applyBorder="1" applyAlignment="1" applyProtection="1">
      <alignment horizontal="left" vertical="top" wrapText="1" readingOrder="1"/>
    </xf>
    <xf numFmtId="0" fontId="9" fillId="0" borderId="35" xfId="0" applyNumberFormat="1" applyFont="1" applyBorder="1" applyAlignment="1" applyProtection="1">
      <alignment horizontal="left" vertical="top" wrapText="1" readingOrder="1"/>
    </xf>
    <xf numFmtId="0" fontId="9" fillId="0" borderId="52" xfId="0" applyNumberFormat="1" applyFont="1" applyBorder="1" applyAlignment="1" applyProtection="1">
      <alignment horizontal="left" vertical="top" wrapText="1" readingOrder="1"/>
    </xf>
    <xf numFmtId="0" fontId="6" fillId="0" borderId="5" xfId="0" applyNumberFormat="1" applyFont="1" applyBorder="1" applyAlignment="1" applyProtection="1">
      <alignment horizontal="left" vertical="center" wrapText="1" indent="1" readingOrder="1"/>
    </xf>
    <xf numFmtId="0" fontId="6" fillId="0" borderId="6" xfId="0" applyNumberFormat="1" applyFont="1" applyBorder="1" applyAlignment="1" applyProtection="1">
      <alignment horizontal="left" vertical="center" wrapText="1" indent="1" readingOrder="1"/>
    </xf>
    <xf numFmtId="0" fontId="6" fillId="0" borderId="7" xfId="0" applyNumberFormat="1" applyFont="1" applyBorder="1" applyAlignment="1" applyProtection="1">
      <alignment horizontal="left" vertical="center" wrapText="1" indent="1" readingOrder="1"/>
    </xf>
    <xf numFmtId="49" fontId="6" fillId="0" borderId="27" xfId="0" applyNumberFormat="1" applyFont="1" applyBorder="1" applyAlignment="1" applyProtection="1">
      <alignment horizontal="left" vertical="center" wrapText="1" indent="1" readingOrder="1"/>
    </xf>
    <xf numFmtId="49" fontId="6" fillId="0" borderId="29" xfId="0" applyNumberFormat="1" applyFont="1" applyBorder="1" applyAlignment="1" applyProtection="1">
      <alignment horizontal="left" vertical="center" wrapText="1" indent="1" readingOrder="1"/>
    </xf>
    <xf numFmtId="49" fontId="6" fillId="0" borderId="30" xfId="0" applyNumberFormat="1" applyFont="1" applyBorder="1" applyAlignment="1" applyProtection="1">
      <alignment horizontal="left" vertical="center" wrapText="1" indent="1" readingOrder="1"/>
    </xf>
    <xf numFmtId="0" fontId="6" fillId="0" borderId="15" xfId="0" applyNumberFormat="1" applyFont="1" applyBorder="1" applyAlignment="1" applyProtection="1">
      <alignment horizontal="left" vertical="center" wrapText="1" indent="1" readingOrder="1"/>
    </xf>
    <xf numFmtId="0" fontId="6" fillId="0" borderId="16" xfId="0" applyNumberFormat="1" applyFont="1" applyBorder="1" applyAlignment="1" applyProtection="1">
      <alignment horizontal="left" vertical="center" wrapText="1" indent="1" readingOrder="1"/>
    </xf>
    <xf numFmtId="0" fontId="6" fillId="0" borderId="17" xfId="0" applyNumberFormat="1" applyFont="1" applyBorder="1" applyAlignment="1" applyProtection="1">
      <alignment horizontal="left" vertical="center" wrapText="1" indent="1" readingOrder="1"/>
    </xf>
    <xf numFmtId="0" fontId="6" fillId="0" borderId="18" xfId="0" applyNumberFormat="1" applyFont="1" applyBorder="1" applyAlignment="1" applyProtection="1">
      <alignment horizontal="left" vertical="center" wrapText="1" indent="1" readingOrder="1"/>
    </xf>
    <xf numFmtId="0" fontId="6" fillId="0" borderId="20" xfId="0" applyNumberFormat="1" applyFont="1" applyBorder="1" applyAlignment="1" applyProtection="1">
      <alignment horizontal="left" vertical="center" wrapText="1" indent="1" readingOrder="1"/>
    </xf>
    <xf numFmtId="0" fontId="6" fillId="0" borderId="23" xfId="0" applyNumberFormat="1" applyFont="1" applyBorder="1" applyAlignment="1" applyProtection="1">
      <alignment horizontal="left" vertical="center" wrapText="1" indent="1" readingOrder="1"/>
    </xf>
  </cellXfs>
  <cellStyles count="2">
    <cellStyle name="Normal" xfId="0" builtinId="0"/>
    <cellStyle name="Porcentaje" xfId="1" builtinId="5"/>
  </cellStyles>
  <dxfs count="0"/>
  <tableStyles count="0" defaultTableStyle="TableStyleMedium2" defaultPivotStyle="PivotStyleLight16"/>
  <colors>
    <mruColors>
      <color rgb="FFFF99FF"/>
      <color rgb="FF00FF00"/>
      <color rgb="FF00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301877</xdr:colOff>
      <xdr:row>5</xdr:row>
      <xdr:rowOff>158751</xdr:rowOff>
    </xdr:from>
    <xdr:to>
      <xdr:col>18</xdr:col>
      <xdr:colOff>633268</xdr:colOff>
      <xdr:row>10</xdr:row>
      <xdr:rowOff>170511</xdr:rowOff>
    </xdr:to>
    <xdr:pic>
      <xdr:nvPicPr>
        <xdr:cNvPr id="12"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943544" y="1217084"/>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630776</xdr:colOff>
      <xdr:row>5</xdr:row>
      <xdr:rowOff>158749</xdr:rowOff>
    </xdr:from>
    <xdr:to>
      <xdr:col>20</xdr:col>
      <xdr:colOff>757358</xdr:colOff>
      <xdr:row>10</xdr:row>
      <xdr:rowOff>64088</xdr:rowOff>
    </xdr:to>
    <xdr:pic>
      <xdr:nvPicPr>
        <xdr:cNvPr id="13"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20443" y="1217082"/>
          <a:ext cx="888582" cy="85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248961</xdr:colOff>
      <xdr:row>124</xdr:row>
      <xdr:rowOff>105834</xdr:rowOff>
    </xdr:from>
    <xdr:to>
      <xdr:col>18</xdr:col>
      <xdr:colOff>580352</xdr:colOff>
      <xdr:row>129</xdr:row>
      <xdr:rowOff>117594</xdr:rowOff>
    </xdr:to>
    <xdr:pic>
      <xdr:nvPicPr>
        <xdr:cNvPr id="16"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890628" y="25040167"/>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366193</xdr:colOff>
      <xdr:row>125</xdr:row>
      <xdr:rowOff>138192</xdr:rowOff>
    </xdr:from>
    <xdr:to>
      <xdr:col>20</xdr:col>
      <xdr:colOff>338666</xdr:colOff>
      <xdr:row>129</xdr:row>
      <xdr:rowOff>85254</xdr:rowOff>
    </xdr:to>
    <xdr:pic>
      <xdr:nvPicPr>
        <xdr:cNvPr id="17"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55860" y="25263025"/>
          <a:ext cx="734473" cy="70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312462</xdr:colOff>
      <xdr:row>244</xdr:row>
      <xdr:rowOff>84666</xdr:rowOff>
    </xdr:from>
    <xdr:to>
      <xdr:col>18</xdr:col>
      <xdr:colOff>643853</xdr:colOff>
      <xdr:row>249</xdr:row>
      <xdr:rowOff>96426</xdr:rowOff>
    </xdr:to>
    <xdr:pic>
      <xdr:nvPicPr>
        <xdr:cNvPr id="24"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954129" y="49064333"/>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281526</xdr:colOff>
      <xdr:row>245</xdr:row>
      <xdr:rowOff>56456</xdr:rowOff>
    </xdr:from>
    <xdr:to>
      <xdr:col>20</xdr:col>
      <xdr:colOff>338666</xdr:colOff>
      <xdr:row>249</xdr:row>
      <xdr:rowOff>85256</xdr:rowOff>
    </xdr:to>
    <xdr:pic>
      <xdr:nvPicPr>
        <xdr:cNvPr id="2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71193" y="49226623"/>
          <a:ext cx="819140" cy="7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555878</xdr:colOff>
      <xdr:row>365</xdr:row>
      <xdr:rowOff>126999</xdr:rowOff>
    </xdr:from>
    <xdr:ext cx="2617391" cy="964260"/>
    <xdr:pic>
      <xdr:nvPicPr>
        <xdr:cNvPr id="20"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197545" y="73321332"/>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oneCellAnchor>
    <xdr:from>
      <xdr:col>19</xdr:col>
      <xdr:colOff>514359</xdr:colOff>
      <xdr:row>366</xdr:row>
      <xdr:rowOff>179062</xdr:rowOff>
    </xdr:from>
    <xdr:ext cx="692141" cy="668194"/>
    <xdr:pic>
      <xdr:nvPicPr>
        <xdr:cNvPr id="21"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04026" y="73563895"/>
          <a:ext cx="692141" cy="6681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222250</xdr:colOff>
      <xdr:row>7</xdr:row>
      <xdr:rowOff>95249</xdr:rowOff>
    </xdr:from>
    <xdr:ext cx="4325471" cy="457200"/>
    <xdr:pic>
      <xdr:nvPicPr>
        <xdr:cNvPr id="26" name="Imagen 2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4250" y="1534582"/>
          <a:ext cx="4325471" cy="457200"/>
        </a:xfrm>
        <a:prstGeom prst="rect">
          <a:avLst/>
        </a:prstGeom>
      </xdr:spPr>
    </xdr:pic>
    <xdr:clientData/>
  </xdr:oneCellAnchor>
  <xdr:oneCellAnchor>
    <xdr:from>
      <xdr:col>1</xdr:col>
      <xdr:colOff>42333</xdr:colOff>
      <xdr:row>126</xdr:row>
      <xdr:rowOff>21167</xdr:rowOff>
    </xdr:from>
    <xdr:ext cx="4325471" cy="457200"/>
    <xdr:pic>
      <xdr:nvPicPr>
        <xdr:cNvPr id="29" name="Imagen 2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333" y="25336500"/>
          <a:ext cx="4325471" cy="457200"/>
        </a:xfrm>
        <a:prstGeom prst="rect">
          <a:avLst/>
        </a:prstGeom>
      </xdr:spPr>
    </xdr:pic>
    <xdr:clientData/>
  </xdr:oneCellAnchor>
  <xdr:oneCellAnchor>
    <xdr:from>
      <xdr:col>1</xdr:col>
      <xdr:colOff>232833</xdr:colOff>
      <xdr:row>246</xdr:row>
      <xdr:rowOff>52917</xdr:rowOff>
    </xdr:from>
    <xdr:ext cx="4325471" cy="457200"/>
    <xdr:pic>
      <xdr:nvPicPr>
        <xdr:cNvPr id="30" name="Imagen 2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4833" y="49413584"/>
          <a:ext cx="4325471" cy="457200"/>
        </a:xfrm>
        <a:prstGeom prst="rect">
          <a:avLst/>
        </a:prstGeom>
      </xdr:spPr>
    </xdr:pic>
    <xdr:clientData/>
  </xdr:oneCellAnchor>
  <xdr:oneCellAnchor>
    <xdr:from>
      <xdr:col>1</xdr:col>
      <xdr:colOff>0</xdr:colOff>
      <xdr:row>367</xdr:row>
      <xdr:rowOff>0</xdr:rowOff>
    </xdr:from>
    <xdr:ext cx="4325471" cy="457200"/>
    <xdr:pic>
      <xdr:nvPicPr>
        <xdr:cNvPr id="15" name="Imagen 1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0" y="73575333"/>
          <a:ext cx="4325471" cy="4572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301878</xdr:colOff>
      <xdr:row>0</xdr:row>
      <xdr:rowOff>42334</xdr:rowOff>
    </xdr:from>
    <xdr:to>
      <xdr:col>18</xdr:col>
      <xdr:colOff>633269</xdr:colOff>
      <xdr:row>5</xdr:row>
      <xdr:rowOff>54094</xdr:rowOff>
    </xdr:to>
    <xdr:pic>
      <xdr:nvPicPr>
        <xdr:cNvPr id="30"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943545" y="42334"/>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20</xdr:col>
      <xdr:colOff>122776</xdr:colOff>
      <xdr:row>0</xdr:row>
      <xdr:rowOff>42334</xdr:rowOff>
    </xdr:from>
    <xdr:to>
      <xdr:col>20</xdr:col>
      <xdr:colOff>1011358</xdr:colOff>
      <xdr:row>4</xdr:row>
      <xdr:rowOff>138173</xdr:rowOff>
    </xdr:to>
    <xdr:pic>
      <xdr:nvPicPr>
        <xdr:cNvPr id="31"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74443" y="42334"/>
          <a:ext cx="888582" cy="85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301878</xdr:colOff>
      <xdr:row>122</xdr:row>
      <xdr:rowOff>137583</xdr:rowOff>
    </xdr:from>
    <xdr:to>
      <xdr:col>18</xdr:col>
      <xdr:colOff>633269</xdr:colOff>
      <xdr:row>127</xdr:row>
      <xdr:rowOff>149343</xdr:rowOff>
    </xdr:to>
    <xdr:pic>
      <xdr:nvPicPr>
        <xdr:cNvPr id="34"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091711" y="24542750"/>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514359</xdr:colOff>
      <xdr:row>122</xdr:row>
      <xdr:rowOff>158749</xdr:rowOff>
    </xdr:from>
    <xdr:to>
      <xdr:col>20</xdr:col>
      <xdr:colOff>640941</xdr:colOff>
      <xdr:row>127</xdr:row>
      <xdr:rowOff>64088</xdr:rowOff>
    </xdr:to>
    <xdr:pic>
      <xdr:nvPicPr>
        <xdr:cNvPr id="3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52192" y="24563916"/>
          <a:ext cx="888582" cy="85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471211</xdr:colOff>
      <xdr:row>244</xdr:row>
      <xdr:rowOff>63500</xdr:rowOff>
    </xdr:from>
    <xdr:to>
      <xdr:col>19</xdr:col>
      <xdr:colOff>40602</xdr:colOff>
      <xdr:row>249</xdr:row>
      <xdr:rowOff>75260</xdr:rowOff>
    </xdr:to>
    <xdr:pic>
      <xdr:nvPicPr>
        <xdr:cNvPr id="38"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61044" y="48873833"/>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651942</xdr:colOff>
      <xdr:row>244</xdr:row>
      <xdr:rowOff>105833</xdr:rowOff>
    </xdr:from>
    <xdr:to>
      <xdr:col>20</xdr:col>
      <xdr:colOff>778524</xdr:colOff>
      <xdr:row>249</xdr:row>
      <xdr:rowOff>11172</xdr:rowOff>
    </xdr:to>
    <xdr:pic>
      <xdr:nvPicPr>
        <xdr:cNvPr id="39"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89775" y="48916166"/>
          <a:ext cx="888582" cy="85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280711</xdr:colOff>
      <xdr:row>364</xdr:row>
      <xdr:rowOff>31750</xdr:rowOff>
    </xdr:from>
    <xdr:to>
      <xdr:col>18</xdr:col>
      <xdr:colOff>612102</xdr:colOff>
      <xdr:row>369</xdr:row>
      <xdr:rowOff>43510</xdr:rowOff>
    </xdr:to>
    <xdr:pic>
      <xdr:nvPicPr>
        <xdr:cNvPr id="42"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070544" y="72866250"/>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567276</xdr:colOff>
      <xdr:row>364</xdr:row>
      <xdr:rowOff>126999</xdr:rowOff>
    </xdr:from>
    <xdr:to>
      <xdr:col>20</xdr:col>
      <xdr:colOff>693858</xdr:colOff>
      <xdr:row>369</xdr:row>
      <xdr:rowOff>32338</xdr:rowOff>
    </xdr:to>
    <xdr:pic>
      <xdr:nvPicPr>
        <xdr:cNvPr id="43"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05109" y="72961499"/>
          <a:ext cx="888582" cy="85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344211</xdr:colOff>
      <xdr:row>484</xdr:row>
      <xdr:rowOff>74084</xdr:rowOff>
    </xdr:from>
    <xdr:to>
      <xdr:col>18</xdr:col>
      <xdr:colOff>675602</xdr:colOff>
      <xdr:row>489</xdr:row>
      <xdr:rowOff>85844</xdr:rowOff>
    </xdr:to>
    <xdr:pic>
      <xdr:nvPicPr>
        <xdr:cNvPr id="46"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134044" y="96932751"/>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397942</xdr:colOff>
      <xdr:row>484</xdr:row>
      <xdr:rowOff>42333</xdr:rowOff>
    </xdr:from>
    <xdr:to>
      <xdr:col>20</xdr:col>
      <xdr:colOff>524524</xdr:colOff>
      <xdr:row>488</xdr:row>
      <xdr:rowOff>138172</xdr:rowOff>
    </xdr:to>
    <xdr:pic>
      <xdr:nvPicPr>
        <xdr:cNvPr id="47"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35775" y="96901000"/>
          <a:ext cx="888582" cy="85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206628</xdr:colOff>
      <xdr:row>605</xdr:row>
      <xdr:rowOff>158750</xdr:rowOff>
    </xdr:from>
    <xdr:to>
      <xdr:col>18</xdr:col>
      <xdr:colOff>538019</xdr:colOff>
      <xdr:row>610</xdr:row>
      <xdr:rowOff>170510</xdr:rowOff>
    </xdr:to>
    <xdr:pic>
      <xdr:nvPicPr>
        <xdr:cNvPr id="54"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996461" y="121232083"/>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715443</xdr:colOff>
      <xdr:row>605</xdr:row>
      <xdr:rowOff>105832</xdr:rowOff>
    </xdr:from>
    <xdr:to>
      <xdr:col>20</xdr:col>
      <xdr:colOff>842025</xdr:colOff>
      <xdr:row>610</xdr:row>
      <xdr:rowOff>11171</xdr:rowOff>
    </xdr:to>
    <xdr:pic>
      <xdr:nvPicPr>
        <xdr:cNvPr id="5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53276" y="121179165"/>
          <a:ext cx="888582" cy="85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333628</xdr:colOff>
      <xdr:row>725</xdr:row>
      <xdr:rowOff>116417</xdr:rowOff>
    </xdr:from>
    <xdr:to>
      <xdr:col>18</xdr:col>
      <xdr:colOff>665019</xdr:colOff>
      <xdr:row>730</xdr:row>
      <xdr:rowOff>128177</xdr:rowOff>
    </xdr:to>
    <xdr:pic>
      <xdr:nvPicPr>
        <xdr:cNvPr id="58"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123461" y="145213917"/>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641359</xdr:colOff>
      <xdr:row>726</xdr:row>
      <xdr:rowOff>117759</xdr:rowOff>
    </xdr:from>
    <xdr:to>
      <xdr:col>20</xdr:col>
      <xdr:colOff>635000</xdr:colOff>
      <xdr:row>730</xdr:row>
      <xdr:rowOff>85256</xdr:rowOff>
    </xdr:to>
    <xdr:pic>
      <xdr:nvPicPr>
        <xdr:cNvPr id="59"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79192" y="145405759"/>
          <a:ext cx="755641" cy="729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418294</xdr:colOff>
      <xdr:row>846</xdr:row>
      <xdr:rowOff>127000</xdr:rowOff>
    </xdr:from>
    <xdr:to>
      <xdr:col>18</xdr:col>
      <xdr:colOff>749685</xdr:colOff>
      <xdr:row>851</xdr:row>
      <xdr:rowOff>138760</xdr:rowOff>
    </xdr:to>
    <xdr:pic>
      <xdr:nvPicPr>
        <xdr:cNvPr id="62"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08127" y="169439167"/>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535525</xdr:colOff>
      <xdr:row>847</xdr:row>
      <xdr:rowOff>128707</xdr:rowOff>
    </xdr:from>
    <xdr:to>
      <xdr:col>20</xdr:col>
      <xdr:colOff>539750</xdr:colOff>
      <xdr:row>851</xdr:row>
      <xdr:rowOff>106422</xdr:rowOff>
    </xdr:to>
    <xdr:pic>
      <xdr:nvPicPr>
        <xdr:cNvPr id="63"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73358" y="169631374"/>
          <a:ext cx="766225" cy="73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291295</xdr:colOff>
      <xdr:row>968</xdr:row>
      <xdr:rowOff>116416</xdr:rowOff>
    </xdr:from>
    <xdr:to>
      <xdr:col>18</xdr:col>
      <xdr:colOff>622686</xdr:colOff>
      <xdr:row>973</xdr:row>
      <xdr:rowOff>128176</xdr:rowOff>
    </xdr:to>
    <xdr:pic>
      <xdr:nvPicPr>
        <xdr:cNvPr id="66"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081128" y="193833749"/>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588442</xdr:colOff>
      <xdr:row>969</xdr:row>
      <xdr:rowOff>96957</xdr:rowOff>
    </xdr:from>
    <xdr:to>
      <xdr:col>20</xdr:col>
      <xdr:colOff>592667</xdr:colOff>
      <xdr:row>973</xdr:row>
      <xdr:rowOff>74672</xdr:rowOff>
    </xdr:to>
    <xdr:pic>
      <xdr:nvPicPr>
        <xdr:cNvPr id="67"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26275" y="194004790"/>
          <a:ext cx="766225" cy="73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344212</xdr:colOff>
      <xdr:row>1090</xdr:row>
      <xdr:rowOff>169333</xdr:rowOff>
    </xdr:from>
    <xdr:to>
      <xdr:col>18</xdr:col>
      <xdr:colOff>675603</xdr:colOff>
      <xdr:row>1095</xdr:row>
      <xdr:rowOff>181093</xdr:rowOff>
    </xdr:to>
    <xdr:pic>
      <xdr:nvPicPr>
        <xdr:cNvPr id="70"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134045" y="218291833"/>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19</xdr:col>
      <xdr:colOff>726027</xdr:colOff>
      <xdr:row>1090</xdr:row>
      <xdr:rowOff>116416</xdr:rowOff>
    </xdr:from>
    <xdr:to>
      <xdr:col>20</xdr:col>
      <xdr:colOff>852609</xdr:colOff>
      <xdr:row>1095</xdr:row>
      <xdr:rowOff>21755</xdr:rowOff>
    </xdr:to>
    <xdr:pic>
      <xdr:nvPicPr>
        <xdr:cNvPr id="71"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63860" y="218238916"/>
          <a:ext cx="888582" cy="85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375962</xdr:colOff>
      <xdr:row>1211</xdr:row>
      <xdr:rowOff>84667</xdr:rowOff>
    </xdr:from>
    <xdr:ext cx="2617391" cy="964260"/>
    <xdr:pic>
      <xdr:nvPicPr>
        <xdr:cNvPr id="50"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165795" y="242421834"/>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oneCellAnchor>
    <xdr:from>
      <xdr:col>19</xdr:col>
      <xdr:colOff>726027</xdr:colOff>
      <xdr:row>1212</xdr:row>
      <xdr:rowOff>42577</xdr:rowOff>
    </xdr:from>
    <xdr:ext cx="723890" cy="698845"/>
    <xdr:pic>
      <xdr:nvPicPr>
        <xdr:cNvPr id="51"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63860" y="242570244"/>
          <a:ext cx="723890" cy="698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386546</xdr:colOff>
      <xdr:row>1336</xdr:row>
      <xdr:rowOff>158749</xdr:rowOff>
    </xdr:from>
    <xdr:ext cx="2617391" cy="964260"/>
    <xdr:pic>
      <xdr:nvPicPr>
        <xdr:cNvPr id="74" name="Marcador de contenido 3"/>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176379" y="267483166"/>
          <a:ext cx="2617391" cy="9642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oneCellAnchor>
    <xdr:from>
      <xdr:col>19</xdr:col>
      <xdr:colOff>715443</xdr:colOff>
      <xdr:row>1337</xdr:row>
      <xdr:rowOff>34190</xdr:rowOff>
    </xdr:from>
    <xdr:ext cx="787391" cy="760149"/>
    <xdr:pic>
      <xdr:nvPicPr>
        <xdr:cNvPr id="7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53276" y="267549107"/>
          <a:ext cx="787391" cy="7601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xdr:row>
      <xdr:rowOff>0</xdr:rowOff>
    </xdr:from>
    <xdr:ext cx="4325471" cy="457200"/>
    <xdr:pic>
      <xdr:nvPicPr>
        <xdr:cNvPr id="76" name="Imagen 7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0" y="381000"/>
          <a:ext cx="4325471" cy="457200"/>
        </a:xfrm>
        <a:prstGeom prst="rect">
          <a:avLst/>
        </a:prstGeom>
      </xdr:spPr>
    </xdr:pic>
    <xdr:clientData/>
  </xdr:oneCellAnchor>
  <xdr:oneCellAnchor>
    <xdr:from>
      <xdr:col>1</xdr:col>
      <xdr:colOff>116417</xdr:colOff>
      <xdr:row>124</xdr:row>
      <xdr:rowOff>21166</xdr:rowOff>
    </xdr:from>
    <xdr:ext cx="4325471" cy="457200"/>
    <xdr:pic>
      <xdr:nvPicPr>
        <xdr:cNvPr id="77" name="Imagen 7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8417" y="24807333"/>
          <a:ext cx="4325471" cy="457200"/>
        </a:xfrm>
        <a:prstGeom prst="rect">
          <a:avLst/>
        </a:prstGeom>
      </xdr:spPr>
    </xdr:pic>
    <xdr:clientData/>
  </xdr:oneCellAnchor>
  <xdr:oneCellAnchor>
    <xdr:from>
      <xdr:col>1</xdr:col>
      <xdr:colOff>190500</xdr:colOff>
      <xdr:row>245</xdr:row>
      <xdr:rowOff>169334</xdr:rowOff>
    </xdr:from>
    <xdr:ext cx="4325471" cy="457200"/>
    <xdr:pic>
      <xdr:nvPicPr>
        <xdr:cNvPr id="78" name="Imagen 7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500" y="49170167"/>
          <a:ext cx="4325471" cy="457200"/>
        </a:xfrm>
        <a:prstGeom prst="rect">
          <a:avLst/>
        </a:prstGeom>
      </xdr:spPr>
    </xdr:pic>
    <xdr:clientData/>
  </xdr:oneCellAnchor>
  <xdr:oneCellAnchor>
    <xdr:from>
      <xdr:col>1</xdr:col>
      <xdr:colOff>74084</xdr:colOff>
      <xdr:row>365</xdr:row>
      <xdr:rowOff>148166</xdr:rowOff>
    </xdr:from>
    <xdr:ext cx="4325471" cy="457200"/>
    <xdr:pic>
      <xdr:nvPicPr>
        <xdr:cNvPr id="79" name="Imagen 7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6084" y="73173166"/>
          <a:ext cx="4325471" cy="457200"/>
        </a:xfrm>
        <a:prstGeom prst="rect">
          <a:avLst/>
        </a:prstGeom>
      </xdr:spPr>
    </xdr:pic>
    <xdr:clientData/>
  </xdr:oneCellAnchor>
  <xdr:oneCellAnchor>
    <xdr:from>
      <xdr:col>1</xdr:col>
      <xdr:colOff>127000</xdr:colOff>
      <xdr:row>485</xdr:row>
      <xdr:rowOff>169333</xdr:rowOff>
    </xdr:from>
    <xdr:ext cx="4325471" cy="457200"/>
    <xdr:pic>
      <xdr:nvPicPr>
        <xdr:cNvPr id="80" name="Imagen 7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9000" y="97218500"/>
          <a:ext cx="4325471" cy="457200"/>
        </a:xfrm>
        <a:prstGeom prst="rect">
          <a:avLst/>
        </a:prstGeom>
      </xdr:spPr>
    </xdr:pic>
    <xdr:clientData/>
  </xdr:oneCellAnchor>
  <xdr:oneCellAnchor>
    <xdr:from>
      <xdr:col>0</xdr:col>
      <xdr:colOff>751417</xdr:colOff>
      <xdr:row>606</xdr:row>
      <xdr:rowOff>158750</xdr:rowOff>
    </xdr:from>
    <xdr:ext cx="4325471" cy="457200"/>
    <xdr:pic>
      <xdr:nvPicPr>
        <xdr:cNvPr id="81" name="Imagen 8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1417" y="121422583"/>
          <a:ext cx="4325471" cy="457200"/>
        </a:xfrm>
        <a:prstGeom prst="rect">
          <a:avLst/>
        </a:prstGeom>
      </xdr:spPr>
    </xdr:pic>
    <xdr:clientData/>
  </xdr:oneCellAnchor>
  <xdr:oneCellAnchor>
    <xdr:from>
      <xdr:col>1</xdr:col>
      <xdr:colOff>116417</xdr:colOff>
      <xdr:row>727</xdr:row>
      <xdr:rowOff>0</xdr:rowOff>
    </xdr:from>
    <xdr:ext cx="4325471" cy="457200"/>
    <xdr:pic>
      <xdr:nvPicPr>
        <xdr:cNvPr id="82" name="Imagen 8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8417" y="145478500"/>
          <a:ext cx="4325471" cy="457200"/>
        </a:xfrm>
        <a:prstGeom prst="rect">
          <a:avLst/>
        </a:prstGeom>
      </xdr:spPr>
    </xdr:pic>
    <xdr:clientData/>
  </xdr:oneCellAnchor>
  <xdr:oneCellAnchor>
    <xdr:from>
      <xdr:col>1</xdr:col>
      <xdr:colOff>84667</xdr:colOff>
      <xdr:row>848</xdr:row>
      <xdr:rowOff>52916</xdr:rowOff>
    </xdr:from>
    <xdr:ext cx="4325471" cy="457200"/>
    <xdr:pic>
      <xdr:nvPicPr>
        <xdr:cNvPr id="83" name="Imagen 8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6667" y="169746083"/>
          <a:ext cx="4325471" cy="457200"/>
        </a:xfrm>
        <a:prstGeom prst="rect">
          <a:avLst/>
        </a:prstGeom>
      </xdr:spPr>
    </xdr:pic>
    <xdr:clientData/>
  </xdr:oneCellAnchor>
  <xdr:oneCellAnchor>
    <xdr:from>
      <xdr:col>1</xdr:col>
      <xdr:colOff>127000</xdr:colOff>
      <xdr:row>970</xdr:row>
      <xdr:rowOff>42334</xdr:rowOff>
    </xdr:from>
    <xdr:ext cx="4325471" cy="457200"/>
    <xdr:pic>
      <xdr:nvPicPr>
        <xdr:cNvPr id="84" name="Imagen 8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9000" y="194140667"/>
          <a:ext cx="4325471" cy="457200"/>
        </a:xfrm>
        <a:prstGeom prst="rect">
          <a:avLst/>
        </a:prstGeom>
      </xdr:spPr>
    </xdr:pic>
    <xdr:clientData/>
  </xdr:oneCellAnchor>
  <xdr:oneCellAnchor>
    <xdr:from>
      <xdr:col>1</xdr:col>
      <xdr:colOff>201083</xdr:colOff>
      <xdr:row>1092</xdr:row>
      <xdr:rowOff>21167</xdr:rowOff>
    </xdr:from>
    <xdr:ext cx="4325471" cy="457200"/>
    <xdr:pic>
      <xdr:nvPicPr>
        <xdr:cNvPr id="86" name="Imagen 8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3083" y="218524667"/>
          <a:ext cx="4325471" cy="457200"/>
        </a:xfrm>
        <a:prstGeom prst="rect">
          <a:avLst/>
        </a:prstGeom>
      </xdr:spPr>
    </xdr:pic>
    <xdr:clientData/>
  </xdr:oneCellAnchor>
  <xdr:oneCellAnchor>
    <xdr:from>
      <xdr:col>1</xdr:col>
      <xdr:colOff>338667</xdr:colOff>
      <xdr:row>1213</xdr:row>
      <xdr:rowOff>31750</xdr:rowOff>
    </xdr:from>
    <xdr:ext cx="4325471" cy="457200"/>
    <xdr:pic>
      <xdr:nvPicPr>
        <xdr:cNvPr id="87" name="Imagen 8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0667" y="242749917"/>
          <a:ext cx="4325471" cy="457200"/>
        </a:xfrm>
        <a:prstGeom prst="rect">
          <a:avLst/>
        </a:prstGeom>
      </xdr:spPr>
    </xdr:pic>
    <xdr:clientData/>
  </xdr:oneCellAnchor>
  <xdr:oneCellAnchor>
    <xdr:from>
      <xdr:col>1</xdr:col>
      <xdr:colOff>169333</xdr:colOff>
      <xdr:row>1338</xdr:row>
      <xdr:rowOff>10584</xdr:rowOff>
    </xdr:from>
    <xdr:ext cx="4325471" cy="457200"/>
    <xdr:pic>
      <xdr:nvPicPr>
        <xdr:cNvPr id="88" name="Imagen 8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31333" y="267716001"/>
          <a:ext cx="4325471" cy="4572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18</xdr:col>
      <xdr:colOff>257175</xdr:colOff>
      <xdr:row>0</xdr:row>
      <xdr:rowOff>66675</xdr:rowOff>
    </xdr:from>
    <xdr:to>
      <xdr:col>20</xdr:col>
      <xdr:colOff>666750</xdr:colOff>
      <xdr:row>6</xdr:row>
      <xdr:rowOff>139290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3175" y="66675"/>
          <a:ext cx="1933575" cy="14346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E488"/>
  <sheetViews>
    <sheetView showGridLines="0" tabSelected="1" topLeftCell="A451" zoomScale="90" zoomScaleNormal="90" workbookViewId="0">
      <selection activeCell="M366" sqref="B366:U488"/>
    </sheetView>
  </sheetViews>
  <sheetFormatPr baseColWidth="10" defaultRowHeight="15"/>
  <cols>
    <col min="9" max="9" width="12.28515625" bestFit="1" customWidth="1"/>
    <col min="11" max="11" width="12.28515625" bestFit="1" customWidth="1"/>
    <col min="14" max="15" width="12.28515625" bestFit="1" customWidth="1"/>
    <col min="21" max="21" width="15.7109375" customWidth="1"/>
  </cols>
  <sheetData>
    <row r="3" spans="1:21" ht="23.25">
      <c r="B3" s="443" t="s">
        <v>72</v>
      </c>
      <c r="C3" s="443"/>
      <c r="D3" s="443"/>
      <c r="E3" s="443"/>
      <c r="F3" s="443"/>
      <c r="G3" s="443"/>
      <c r="H3" s="443"/>
      <c r="I3" s="443"/>
      <c r="J3" s="443"/>
      <c r="K3" s="443"/>
      <c r="L3" s="443"/>
      <c r="M3" s="443"/>
      <c r="N3" s="443"/>
      <c r="O3" s="443"/>
      <c r="P3" s="443"/>
      <c r="Q3" s="443"/>
      <c r="R3" s="443"/>
      <c r="S3" s="443"/>
      <c r="T3" s="443"/>
      <c r="U3" s="443"/>
    </row>
    <row r="6" spans="1:21" ht="15" customHeight="1"/>
    <row r="7" spans="1:21" ht="15" customHeight="1">
      <c r="F7" s="1"/>
      <c r="G7" s="1"/>
      <c r="H7" s="1"/>
      <c r="I7" s="1"/>
      <c r="J7" s="1"/>
      <c r="K7" s="1"/>
      <c r="L7" s="1"/>
      <c r="M7" s="1"/>
      <c r="N7" s="1"/>
      <c r="O7" s="1"/>
    </row>
    <row r="8" spans="1:21" ht="15" customHeight="1">
      <c r="B8" s="427" t="s">
        <v>135</v>
      </c>
      <c r="C8" s="427"/>
      <c r="D8" s="427"/>
      <c r="E8" s="427"/>
      <c r="F8" s="427"/>
      <c r="G8" s="427"/>
      <c r="H8" s="427"/>
      <c r="I8" s="427"/>
      <c r="J8" s="427"/>
      <c r="K8" s="427"/>
      <c r="L8" s="427"/>
      <c r="M8" s="427"/>
      <c r="N8" s="427"/>
      <c r="O8" s="427"/>
      <c r="P8" s="427"/>
      <c r="Q8" s="427"/>
      <c r="R8" s="427"/>
      <c r="S8" s="427"/>
      <c r="T8" s="427"/>
      <c r="U8" s="427"/>
    </row>
    <row r="9" spans="1:21" ht="15" customHeight="1">
      <c r="F9" t="s">
        <v>0</v>
      </c>
    </row>
    <row r="10" spans="1:21" ht="15" customHeight="1">
      <c r="B10" s="2"/>
      <c r="C10" s="2"/>
      <c r="D10" s="2"/>
      <c r="E10" s="2"/>
      <c r="F10" s="2"/>
      <c r="G10" s="2"/>
      <c r="H10" s="2"/>
      <c r="I10" s="2"/>
      <c r="J10" s="2"/>
      <c r="K10" s="2"/>
      <c r="L10" s="2"/>
      <c r="M10" s="2"/>
      <c r="N10" s="2"/>
      <c r="O10" s="2"/>
      <c r="P10" s="2"/>
      <c r="Q10" s="2"/>
      <c r="R10" s="2"/>
      <c r="S10" s="2"/>
      <c r="T10" s="2"/>
      <c r="U10" s="2"/>
    </row>
    <row r="11" spans="1:21" ht="15" customHeight="1" thickBot="1">
      <c r="B11" s="3"/>
      <c r="C11" s="3"/>
      <c r="D11" s="3"/>
      <c r="E11" s="3"/>
      <c r="F11" s="3"/>
      <c r="G11" s="3"/>
      <c r="H11" s="3"/>
      <c r="I11" s="3"/>
      <c r="J11" s="3"/>
      <c r="K11" s="3"/>
      <c r="L11" s="3"/>
      <c r="M11" s="3"/>
      <c r="N11" s="3"/>
      <c r="O11" s="3"/>
      <c r="P11" s="3"/>
      <c r="Q11" s="3"/>
      <c r="R11" s="3"/>
      <c r="S11" s="3"/>
      <c r="T11" s="3"/>
      <c r="U11" s="3"/>
    </row>
    <row r="12" spans="1:21" ht="15" customHeight="1">
      <c r="B12" s="385" t="s">
        <v>1</v>
      </c>
      <c r="C12" s="386"/>
      <c r="D12" s="386"/>
      <c r="E12" s="386"/>
      <c r="F12" s="387"/>
      <c r="G12" s="428" t="s">
        <v>164</v>
      </c>
      <c r="H12" s="429"/>
      <c r="I12" s="429"/>
      <c r="J12" s="429"/>
      <c r="K12" s="429"/>
      <c r="L12" s="429"/>
      <c r="M12" s="429"/>
      <c r="N12" s="429"/>
      <c r="O12" s="429"/>
      <c r="P12" s="429"/>
      <c r="Q12" s="429"/>
      <c r="R12" s="429"/>
      <c r="S12" s="429"/>
      <c r="T12" s="429"/>
      <c r="U12" s="430"/>
    </row>
    <row r="13" spans="1:21" ht="15" customHeight="1">
      <c r="A13" s="4"/>
      <c r="B13" s="431" t="s">
        <v>2</v>
      </c>
      <c r="C13" s="432"/>
      <c r="D13" s="432"/>
      <c r="E13" s="432"/>
      <c r="F13" s="433"/>
      <c r="G13" s="434" t="s">
        <v>163</v>
      </c>
      <c r="H13" s="435"/>
      <c r="I13" s="435"/>
      <c r="J13" s="435"/>
      <c r="K13" s="435"/>
      <c r="L13" s="435"/>
      <c r="M13" s="435"/>
      <c r="N13" s="435"/>
      <c r="O13" s="435"/>
      <c r="P13" s="435"/>
      <c r="Q13" s="435"/>
      <c r="R13" s="435"/>
      <c r="S13" s="435"/>
      <c r="T13" s="435"/>
      <c r="U13" s="436"/>
    </row>
    <row r="14" spans="1:21" ht="15" customHeight="1">
      <c r="A14" s="4"/>
      <c r="B14" s="385" t="s">
        <v>3</v>
      </c>
      <c r="C14" s="386"/>
      <c r="D14" s="386"/>
      <c r="E14" s="386"/>
      <c r="F14" s="387"/>
      <c r="G14" s="437" t="s">
        <v>156</v>
      </c>
      <c r="H14" s="438"/>
      <c r="I14" s="438"/>
      <c r="J14" s="438"/>
      <c r="K14" s="438"/>
      <c r="L14" s="438"/>
      <c r="M14" s="438"/>
      <c r="N14" s="438"/>
      <c r="O14" s="438"/>
      <c r="P14" s="438"/>
      <c r="Q14" s="438"/>
      <c r="R14" s="438"/>
      <c r="S14" s="438"/>
      <c r="T14" s="438"/>
      <c r="U14" s="439"/>
    </row>
    <row r="15" spans="1:21" ht="15" customHeight="1">
      <c r="A15" s="4"/>
      <c r="B15" s="385" t="s">
        <v>4</v>
      </c>
      <c r="C15" s="386"/>
      <c r="D15" s="386"/>
      <c r="E15" s="386"/>
      <c r="F15" s="387"/>
      <c r="G15" s="440" t="s">
        <v>165</v>
      </c>
      <c r="H15" s="441"/>
      <c r="I15" s="441"/>
      <c r="J15" s="441"/>
      <c r="K15" s="441"/>
      <c r="L15" s="441"/>
      <c r="M15" s="441"/>
      <c r="N15" s="441"/>
      <c r="O15" s="441"/>
      <c r="P15" s="441"/>
      <c r="Q15" s="441"/>
      <c r="R15" s="441"/>
      <c r="S15" s="441"/>
      <c r="T15" s="441"/>
      <c r="U15" s="442"/>
    </row>
    <row r="16" spans="1:21" ht="15" customHeight="1">
      <c r="A16" s="4"/>
      <c r="B16" s="385" t="s">
        <v>5</v>
      </c>
      <c r="C16" s="386"/>
      <c r="D16" s="386"/>
      <c r="E16" s="386"/>
      <c r="F16" s="387"/>
      <c r="G16" s="410" t="s">
        <v>6</v>
      </c>
      <c r="H16" s="411"/>
      <c r="I16" s="412">
        <v>779836</v>
      </c>
      <c r="J16" s="413"/>
      <c r="K16" s="413"/>
      <c r="L16" s="414"/>
      <c r="M16" s="5" t="s">
        <v>7</v>
      </c>
      <c r="N16" s="412">
        <v>0</v>
      </c>
      <c r="O16" s="413"/>
      <c r="P16" s="413"/>
      <c r="Q16" s="414"/>
      <c r="R16" s="415" t="s">
        <v>8</v>
      </c>
      <c r="S16" s="416"/>
      <c r="T16" s="412">
        <v>0</v>
      </c>
      <c r="U16" s="417"/>
    </row>
    <row r="17" spans="1:21">
      <c r="A17" s="4"/>
      <c r="B17" s="385" t="s">
        <v>9</v>
      </c>
      <c r="C17" s="386"/>
      <c r="D17" s="386"/>
      <c r="E17" s="386"/>
      <c r="F17" s="387"/>
      <c r="G17" s="418" t="s">
        <v>6</v>
      </c>
      <c r="H17" s="419"/>
      <c r="I17" s="412">
        <v>0</v>
      </c>
      <c r="J17" s="413"/>
      <c r="K17" s="413"/>
      <c r="L17" s="414"/>
      <c r="M17" s="5" t="s">
        <v>7</v>
      </c>
      <c r="N17" s="420">
        <v>0</v>
      </c>
      <c r="O17" s="421"/>
      <c r="P17" s="421"/>
      <c r="Q17" s="422"/>
      <c r="R17" s="423"/>
      <c r="S17" s="424"/>
      <c r="T17" s="424"/>
      <c r="U17" s="425"/>
    </row>
    <row r="18" spans="1:21" ht="15.75" thickBot="1">
      <c r="A18" s="4"/>
      <c r="B18" s="385" t="s">
        <v>10</v>
      </c>
      <c r="C18" s="386"/>
      <c r="D18" s="386"/>
      <c r="E18" s="386"/>
      <c r="F18" s="387"/>
      <c r="G18" s="460" t="s">
        <v>127</v>
      </c>
      <c r="H18" s="461"/>
      <c r="I18" s="461"/>
      <c r="J18" s="461"/>
      <c r="K18" s="461"/>
      <c r="L18" s="461"/>
      <c r="M18" s="461"/>
      <c r="N18" s="461"/>
      <c r="O18" s="461"/>
      <c r="P18" s="461"/>
      <c r="Q18" s="461"/>
      <c r="R18" s="461"/>
      <c r="S18" s="461"/>
      <c r="T18" s="461"/>
      <c r="U18" s="462"/>
    </row>
    <row r="19" spans="1:21" ht="15.75" customHeight="1" thickBot="1">
      <c r="A19" s="4"/>
      <c r="B19" s="391" t="s">
        <v>11</v>
      </c>
      <c r="C19" s="392"/>
      <c r="D19" s="392"/>
      <c r="E19" s="392"/>
      <c r="F19" s="393"/>
      <c r="G19" s="394" t="s">
        <v>118</v>
      </c>
      <c r="H19" s="395"/>
      <c r="I19" s="395"/>
      <c r="J19" s="395"/>
      <c r="K19" s="395"/>
      <c r="L19" s="395"/>
      <c r="M19" s="395"/>
      <c r="N19" s="395"/>
      <c r="O19" s="395"/>
      <c r="P19" s="395"/>
      <c r="Q19" s="395"/>
      <c r="R19" s="395"/>
      <c r="S19" s="395"/>
      <c r="T19" s="395"/>
      <c r="U19" s="396"/>
    </row>
    <row r="20" spans="1:21" ht="15.75" thickBot="1">
      <c r="B20" s="397"/>
      <c r="C20" s="397"/>
      <c r="D20" s="397"/>
      <c r="E20" s="397"/>
      <c r="F20" s="397"/>
      <c r="G20" s="397"/>
      <c r="H20" s="397"/>
      <c r="I20" s="397"/>
      <c r="J20" s="397"/>
      <c r="K20" s="397"/>
      <c r="L20" s="397"/>
      <c r="M20" s="397"/>
      <c r="N20" s="397"/>
      <c r="O20" s="397"/>
      <c r="P20" s="397"/>
      <c r="Q20" s="397"/>
      <c r="R20" s="397"/>
      <c r="S20" s="397"/>
      <c r="T20" s="397"/>
      <c r="U20" s="397"/>
    </row>
    <row r="21" spans="1:21" ht="16.5" thickBot="1">
      <c r="A21" s="4"/>
      <c r="B21" s="306" t="s">
        <v>12</v>
      </c>
      <c r="C21" s="307"/>
      <c r="D21" s="308"/>
      <c r="E21" s="307" t="s">
        <v>13</v>
      </c>
      <c r="F21" s="308"/>
      <c r="G21" s="312" t="s">
        <v>14</v>
      </c>
      <c r="H21" s="313"/>
      <c r="I21" s="313"/>
      <c r="J21" s="313"/>
      <c r="K21" s="313"/>
      <c r="L21" s="313"/>
      <c r="M21" s="313"/>
      <c r="N21" s="313"/>
      <c r="O21" s="313"/>
      <c r="P21" s="313"/>
      <c r="Q21" s="313"/>
      <c r="R21" s="313"/>
      <c r="S21" s="313"/>
      <c r="T21" s="313"/>
      <c r="U21" s="314"/>
    </row>
    <row r="22" spans="1:21" ht="15.75" customHeight="1" thickBot="1">
      <c r="A22" s="4"/>
      <c r="B22" s="309"/>
      <c r="C22" s="310"/>
      <c r="D22" s="311"/>
      <c r="E22" s="310"/>
      <c r="F22" s="311"/>
      <c r="G22" s="315" t="s">
        <v>15</v>
      </c>
      <c r="H22" s="316"/>
      <c r="I22" s="267" t="s">
        <v>120</v>
      </c>
      <c r="J22" s="268"/>
      <c r="K22" s="268"/>
      <c r="L22" s="268"/>
      <c r="M22" s="268"/>
      <c r="N22" s="269"/>
      <c r="O22" s="403" t="s">
        <v>121</v>
      </c>
      <c r="P22" s="404"/>
      <c r="Q22" s="404"/>
      <c r="R22" s="404"/>
      <c r="S22" s="404"/>
      <c r="T22" s="404"/>
      <c r="U22" s="405"/>
    </row>
    <row r="23" spans="1:21">
      <c r="A23" s="4"/>
      <c r="B23" s="309"/>
      <c r="C23" s="310"/>
      <c r="D23" s="311"/>
      <c r="E23" s="310"/>
      <c r="F23" s="311"/>
      <c r="G23" s="317"/>
      <c r="H23" s="318"/>
      <c r="I23" s="315" t="s">
        <v>18</v>
      </c>
      <c r="J23" s="406"/>
      <c r="K23" s="406"/>
      <c r="L23" s="315" t="s">
        <v>19</v>
      </c>
      <c r="M23" s="406"/>
      <c r="N23" s="316"/>
      <c r="O23" s="408" t="s">
        <v>18</v>
      </c>
      <c r="P23" s="409"/>
      <c r="Q23" s="409"/>
      <c r="R23" s="315" t="s">
        <v>19</v>
      </c>
      <c r="S23" s="406"/>
      <c r="T23" s="406"/>
      <c r="U23" s="326" t="s">
        <v>20</v>
      </c>
    </row>
    <row r="24" spans="1:21" ht="15.75" thickBot="1">
      <c r="A24" s="4"/>
      <c r="B24" s="398"/>
      <c r="C24" s="399"/>
      <c r="D24" s="400"/>
      <c r="E24" s="399"/>
      <c r="F24" s="400"/>
      <c r="G24" s="401"/>
      <c r="H24" s="402"/>
      <c r="I24" s="401"/>
      <c r="J24" s="407"/>
      <c r="K24" s="407"/>
      <c r="L24" s="401"/>
      <c r="M24" s="407"/>
      <c r="N24" s="402"/>
      <c r="O24" s="401"/>
      <c r="P24" s="407"/>
      <c r="Q24" s="407"/>
      <c r="R24" s="401"/>
      <c r="S24" s="407"/>
      <c r="T24" s="407"/>
      <c r="U24" s="327"/>
    </row>
    <row r="25" spans="1:21">
      <c r="A25" s="4"/>
      <c r="B25" s="372" t="s">
        <v>59</v>
      </c>
      <c r="C25" s="373"/>
      <c r="D25" s="374"/>
      <c r="E25" s="375"/>
      <c r="F25" s="376"/>
      <c r="G25" s="377"/>
      <c r="H25" s="378"/>
      <c r="I25" s="379"/>
      <c r="J25" s="380"/>
      <c r="K25" s="378"/>
      <c r="L25" s="381"/>
      <c r="M25" s="380"/>
      <c r="N25" s="382"/>
      <c r="O25" s="383"/>
      <c r="P25" s="384"/>
      <c r="Q25" s="384"/>
      <c r="R25" s="384"/>
      <c r="S25" s="384"/>
      <c r="T25" s="384"/>
      <c r="U25" s="53"/>
    </row>
    <row r="26" spans="1:21">
      <c r="A26" s="4"/>
      <c r="B26" s="354" t="s">
        <v>76</v>
      </c>
      <c r="C26" s="362"/>
      <c r="D26" s="363"/>
      <c r="E26" s="364"/>
      <c r="F26" s="365"/>
      <c r="G26" s="366"/>
      <c r="H26" s="367"/>
      <c r="I26" s="371"/>
      <c r="J26" s="370"/>
      <c r="K26" s="370"/>
      <c r="L26" s="370"/>
      <c r="M26" s="370"/>
      <c r="N26" s="365"/>
      <c r="O26" s="371"/>
      <c r="P26" s="370"/>
      <c r="Q26" s="370"/>
      <c r="R26" s="370"/>
      <c r="S26" s="370"/>
      <c r="T26" s="370"/>
      <c r="U26" s="83"/>
    </row>
    <row r="27" spans="1:21">
      <c r="A27" s="4"/>
      <c r="B27" s="328" t="s">
        <v>56</v>
      </c>
      <c r="C27" s="329"/>
      <c r="D27" s="330"/>
      <c r="E27" s="331" t="s">
        <v>58</v>
      </c>
      <c r="F27" s="332"/>
      <c r="G27" s="348">
        <v>170</v>
      </c>
      <c r="H27" s="359"/>
      <c r="I27" s="350">
        <v>170</v>
      </c>
      <c r="J27" s="351"/>
      <c r="K27" s="349"/>
      <c r="L27" s="350">
        <v>170</v>
      </c>
      <c r="M27" s="351"/>
      <c r="N27" s="352"/>
      <c r="O27" s="353">
        <v>170</v>
      </c>
      <c r="P27" s="351"/>
      <c r="Q27" s="349"/>
      <c r="R27" s="350">
        <v>170</v>
      </c>
      <c r="S27" s="351"/>
      <c r="T27" s="349"/>
      <c r="U27" s="6">
        <f t="shared" ref="U27" si="0">R27/G27</f>
        <v>1</v>
      </c>
    </row>
    <row r="28" spans="1:21">
      <c r="A28" s="4"/>
      <c r="B28" s="328" t="s">
        <v>57</v>
      </c>
      <c r="C28" s="329"/>
      <c r="D28" s="330"/>
      <c r="E28" s="331" t="s">
        <v>58</v>
      </c>
      <c r="F28" s="332"/>
      <c r="G28" s="348">
        <v>4405</v>
      </c>
      <c r="H28" s="349"/>
      <c r="I28" s="350">
        <v>1020</v>
      </c>
      <c r="J28" s="351"/>
      <c r="K28" s="349"/>
      <c r="L28" s="350">
        <v>1016</v>
      </c>
      <c r="M28" s="351"/>
      <c r="N28" s="352"/>
      <c r="O28" s="353">
        <f>340+340+340</f>
        <v>1020</v>
      </c>
      <c r="P28" s="351"/>
      <c r="Q28" s="349"/>
      <c r="R28" s="350">
        <f>339+339+338</f>
        <v>1016</v>
      </c>
      <c r="S28" s="351"/>
      <c r="T28" s="349"/>
      <c r="U28" s="54">
        <f>R28/G28</f>
        <v>0.23064699205448355</v>
      </c>
    </row>
    <row r="29" spans="1:21" ht="15" customHeight="1">
      <c r="A29" s="4"/>
      <c r="B29" s="354" t="s">
        <v>77</v>
      </c>
      <c r="C29" s="362"/>
      <c r="D29" s="363"/>
      <c r="E29" s="364"/>
      <c r="F29" s="365"/>
      <c r="G29" s="366"/>
      <c r="H29" s="367"/>
      <c r="I29" s="371"/>
      <c r="J29" s="370"/>
      <c r="K29" s="370"/>
      <c r="L29" s="370"/>
      <c r="M29" s="370"/>
      <c r="N29" s="365"/>
      <c r="O29" s="371"/>
      <c r="P29" s="370"/>
      <c r="Q29" s="370"/>
      <c r="R29" s="370"/>
      <c r="S29" s="370"/>
      <c r="T29" s="370"/>
      <c r="U29" s="83"/>
    </row>
    <row r="30" spans="1:21">
      <c r="A30" s="4"/>
      <c r="B30" s="328" t="s">
        <v>56</v>
      </c>
      <c r="C30" s="329"/>
      <c r="D30" s="330"/>
      <c r="E30" s="331" t="s">
        <v>58</v>
      </c>
      <c r="F30" s="332"/>
      <c r="G30" s="348">
        <v>35</v>
      </c>
      <c r="H30" s="359"/>
      <c r="I30" s="350">
        <v>35</v>
      </c>
      <c r="J30" s="351"/>
      <c r="K30" s="349"/>
      <c r="L30" s="350">
        <v>35</v>
      </c>
      <c r="M30" s="351"/>
      <c r="N30" s="352"/>
      <c r="O30" s="353">
        <v>35</v>
      </c>
      <c r="P30" s="351"/>
      <c r="Q30" s="349"/>
      <c r="R30" s="350">
        <v>35</v>
      </c>
      <c r="S30" s="351"/>
      <c r="T30" s="349"/>
      <c r="U30" s="6">
        <f t="shared" ref="U30" si="1">R30/G30</f>
        <v>1</v>
      </c>
    </row>
    <row r="31" spans="1:21">
      <c r="A31" s="4"/>
      <c r="B31" s="328" t="s">
        <v>57</v>
      </c>
      <c r="C31" s="329"/>
      <c r="D31" s="330"/>
      <c r="E31" s="331" t="s">
        <v>58</v>
      </c>
      <c r="F31" s="332"/>
      <c r="G31" s="348">
        <v>907</v>
      </c>
      <c r="H31" s="349"/>
      <c r="I31" s="350">
        <v>210</v>
      </c>
      <c r="J31" s="351"/>
      <c r="K31" s="349"/>
      <c r="L31" s="350">
        <v>210</v>
      </c>
      <c r="M31" s="351"/>
      <c r="N31" s="352"/>
      <c r="O31" s="353">
        <f>70+70+70</f>
        <v>210</v>
      </c>
      <c r="P31" s="351"/>
      <c r="Q31" s="349"/>
      <c r="R31" s="350">
        <f>70+70+70</f>
        <v>210</v>
      </c>
      <c r="S31" s="351"/>
      <c r="T31" s="349"/>
      <c r="U31" s="54">
        <f>R31/G31</f>
        <v>0.23153252480705622</v>
      </c>
    </row>
    <row r="32" spans="1:21" ht="15" customHeight="1">
      <c r="A32" s="4"/>
      <c r="B32" s="354" t="s">
        <v>78</v>
      </c>
      <c r="C32" s="362"/>
      <c r="D32" s="363"/>
      <c r="E32" s="364"/>
      <c r="F32" s="365"/>
      <c r="G32" s="366"/>
      <c r="H32" s="367"/>
      <c r="I32" s="371"/>
      <c r="J32" s="370"/>
      <c r="K32" s="370"/>
      <c r="L32" s="370"/>
      <c r="M32" s="370"/>
      <c r="N32" s="365"/>
      <c r="O32" s="371"/>
      <c r="P32" s="370"/>
      <c r="Q32" s="370"/>
      <c r="R32" s="370"/>
      <c r="S32" s="370"/>
      <c r="T32" s="370"/>
      <c r="U32" s="83"/>
    </row>
    <row r="33" spans="1:21">
      <c r="A33" s="4"/>
      <c r="B33" s="328" t="s">
        <v>56</v>
      </c>
      <c r="C33" s="329"/>
      <c r="D33" s="330"/>
      <c r="E33" s="331" t="s">
        <v>58</v>
      </c>
      <c r="F33" s="332"/>
      <c r="G33" s="348">
        <v>35</v>
      </c>
      <c r="H33" s="359"/>
      <c r="I33" s="350">
        <v>35</v>
      </c>
      <c r="J33" s="351"/>
      <c r="K33" s="349"/>
      <c r="L33" s="350">
        <v>35</v>
      </c>
      <c r="M33" s="351"/>
      <c r="N33" s="352"/>
      <c r="O33" s="353">
        <v>35</v>
      </c>
      <c r="P33" s="351"/>
      <c r="Q33" s="349"/>
      <c r="R33" s="350">
        <v>35</v>
      </c>
      <c r="S33" s="351"/>
      <c r="T33" s="349"/>
      <c r="U33" s="6">
        <f t="shared" ref="U33" si="2">R33/G33</f>
        <v>1</v>
      </c>
    </row>
    <row r="34" spans="1:21">
      <c r="A34" s="4"/>
      <c r="B34" s="328" t="s">
        <v>57</v>
      </c>
      <c r="C34" s="329"/>
      <c r="D34" s="330"/>
      <c r="E34" s="331" t="s">
        <v>58</v>
      </c>
      <c r="F34" s="332"/>
      <c r="G34" s="348">
        <v>907</v>
      </c>
      <c r="H34" s="349"/>
      <c r="I34" s="350">
        <v>210</v>
      </c>
      <c r="J34" s="351"/>
      <c r="K34" s="349"/>
      <c r="L34" s="350">
        <v>210</v>
      </c>
      <c r="M34" s="351"/>
      <c r="N34" s="352"/>
      <c r="O34" s="353">
        <f>70+70+70</f>
        <v>210</v>
      </c>
      <c r="P34" s="351"/>
      <c r="Q34" s="349"/>
      <c r="R34" s="350">
        <f>70+70+70</f>
        <v>210</v>
      </c>
      <c r="S34" s="351"/>
      <c r="T34" s="349"/>
      <c r="U34" s="54">
        <f>R34/G34</f>
        <v>0.23153252480705622</v>
      </c>
    </row>
    <row r="35" spans="1:21" ht="15" customHeight="1">
      <c r="A35" s="4"/>
      <c r="B35" s="354" t="s">
        <v>79</v>
      </c>
      <c r="C35" s="362"/>
      <c r="D35" s="363"/>
      <c r="E35" s="364"/>
      <c r="F35" s="365"/>
      <c r="G35" s="366"/>
      <c r="H35" s="367"/>
      <c r="I35" s="371"/>
      <c r="J35" s="370"/>
      <c r="K35" s="370"/>
      <c r="L35" s="370"/>
      <c r="M35" s="370"/>
      <c r="N35" s="365"/>
      <c r="O35" s="371"/>
      <c r="P35" s="370"/>
      <c r="Q35" s="370"/>
      <c r="R35" s="370"/>
      <c r="S35" s="370"/>
      <c r="T35" s="370"/>
      <c r="U35" s="83"/>
    </row>
    <row r="36" spans="1:21">
      <c r="A36" s="4"/>
      <c r="B36" s="328" t="s">
        <v>56</v>
      </c>
      <c r="C36" s="329"/>
      <c r="D36" s="330"/>
      <c r="E36" s="331" t="s">
        <v>58</v>
      </c>
      <c r="F36" s="332"/>
      <c r="G36" s="348">
        <v>96</v>
      </c>
      <c r="H36" s="359"/>
      <c r="I36" s="350">
        <v>0</v>
      </c>
      <c r="J36" s="351"/>
      <c r="K36" s="349"/>
      <c r="L36" s="350">
        <v>0</v>
      </c>
      <c r="M36" s="351"/>
      <c r="N36" s="352"/>
      <c r="O36" s="353">
        <v>0</v>
      </c>
      <c r="P36" s="351"/>
      <c r="Q36" s="349"/>
      <c r="R36" s="350">
        <v>0</v>
      </c>
      <c r="S36" s="351"/>
      <c r="T36" s="349"/>
      <c r="U36" s="54">
        <f t="shared" ref="U36" si="3">R36/G36</f>
        <v>0</v>
      </c>
    </row>
    <row r="37" spans="1:21">
      <c r="A37" s="4"/>
      <c r="B37" s="328" t="s">
        <v>57</v>
      </c>
      <c r="C37" s="329"/>
      <c r="D37" s="330"/>
      <c r="E37" s="331" t="s">
        <v>58</v>
      </c>
      <c r="F37" s="332"/>
      <c r="G37" s="348">
        <v>1440</v>
      </c>
      <c r="H37" s="349"/>
      <c r="I37" s="350">
        <v>0</v>
      </c>
      <c r="J37" s="351"/>
      <c r="K37" s="349"/>
      <c r="L37" s="350">
        <v>0</v>
      </c>
      <c r="M37" s="351"/>
      <c r="N37" s="352"/>
      <c r="O37" s="353">
        <v>0</v>
      </c>
      <c r="P37" s="351"/>
      <c r="Q37" s="349"/>
      <c r="R37" s="350">
        <v>0</v>
      </c>
      <c r="S37" s="351"/>
      <c r="T37" s="349"/>
      <c r="U37" s="54">
        <f>R37/G37</f>
        <v>0</v>
      </c>
    </row>
    <row r="38" spans="1:21">
      <c r="A38" s="4"/>
      <c r="B38" s="354" t="s">
        <v>63</v>
      </c>
      <c r="C38" s="355"/>
      <c r="D38" s="356"/>
      <c r="E38" s="357"/>
      <c r="F38" s="358"/>
      <c r="G38" s="348"/>
      <c r="H38" s="349"/>
      <c r="I38" s="350"/>
      <c r="J38" s="351"/>
      <c r="K38" s="349"/>
      <c r="L38" s="353"/>
      <c r="M38" s="351"/>
      <c r="N38" s="352"/>
      <c r="O38" s="353"/>
      <c r="P38" s="351"/>
      <c r="Q38" s="351"/>
      <c r="R38" s="351"/>
      <c r="S38" s="351"/>
      <c r="T38" s="351"/>
      <c r="U38" s="6"/>
    </row>
    <row r="39" spans="1:21">
      <c r="A39" s="4"/>
      <c r="B39" s="328" t="s">
        <v>60</v>
      </c>
      <c r="C39" s="329"/>
      <c r="D39" s="330"/>
      <c r="E39" s="331" t="s">
        <v>58</v>
      </c>
      <c r="F39" s="332"/>
      <c r="G39" s="348">
        <v>12</v>
      </c>
      <c r="H39" s="359"/>
      <c r="I39" s="350">
        <v>0</v>
      </c>
      <c r="J39" s="351"/>
      <c r="K39" s="349"/>
      <c r="L39" s="350">
        <v>0</v>
      </c>
      <c r="M39" s="351"/>
      <c r="N39" s="352"/>
      <c r="O39" s="353">
        <v>0</v>
      </c>
      <c r="P39" s="351"/>
      <c r="Q39" s="349"/>
      <c r="R39" s="350">
        <v>0</v>
      </c>
      <c r="S39" s="351"/>
      <c r="T39" s="349"/>
      <c r="U39" s="54">
        <f>R39/G39</f>
        <v>0</v>
      </c>
    </row>
    <row r="40" spans="1:21">
      <c r="A40" s="4"/>
      <c r="B40" s="354" t="s">
        <v>61</v>
      </c>
      <c r="C40" s="355"/>
      <c r="D40" s="356"/>
      <c r="E40" s="357"/>
      <c r="F40" s="358"/>
      <c r="G40" s="348"/>
      <c r="H40" s="349"/>
      <c r="I40" s="350"/>
      <c r="J40" s="351"/>
      <c r="K40" s="349"/>
      <c r="L40" s="353"/>
      <c r="M40" s="351"/>
      <c r="N40" s="352"/>
      <c r="O40" s="353"/>
      <c r="P40" s="351"/>
      <c r="Q40" s="351"/>
      <c r="R40" s="351"/>
      <c r="S40" s="351"/>
      <c r="T40" s="351"/>
      <c r="U40" s="6"/>
    </row>
    <row r="41" spans="1:21" ht="15" customHeight="1">
      <c r="A41" s="4"/>
      <c r="B41" s="328" t="s">
        <v>61</v>
      </c>
      <c r="C41" s="329"/>
      <c r="D41" s="330"/>
      <c r="E41" s="331" t="s">
        <v>58</v>
      </c>
      <c r="F41" s="332"/>
      <c r="G41" s="348">
        <v>15</v>
      </c>
      <c r="H41" s="349"/>
      <c r="I41" s="350">
        <v>0</v>
      </c>
      <c r="J41" s="351"/>
      <c r="K41" s="349"/>
      <c r="L41" s="350">
        <v>0</v>
      </c>
      <c r="M41" s="351"/>
      <c r="N41" s="352"/>
      <c r="O41" s="353">
        <v>0</v>
      </c>
      <c r="P41" s="351"/>
      <c r="Q41" s="349"/>
      <c r="R41" s="350">
        <v>0</v>
      </c>
      <c r="S41" s="351"/>
      <c r="T41" s="349"/>
      <c r="U41" s="54">
        <f>R41/G41</f>
        <v>0</v>
      </c>
    </row>
    <row r="42" spans="1:21" ht="15" customHeight="1">
      <c r="A42" s="4"/>
      <c r="B42" s="354" t="s">
        <v>62</v>
      </c>
      <c r="C42" s="355"/>
      <c r="D42" s="356"/>
      <c r="E42" s="357"/>
      <c r="F42" s="358"/>
      <c r="G42" s="348"/>
      <c r="H42" s="349"/>
      <c r="I42" s="350"/>
      <c r="J42" s="351"/>
      <c r="K42" s="349"/>
      <c r="L42" s="353"/>
      <c r="M42" s="351"/>
      <c r="N42" s="352"/>
      <c r="O42" s="353"/>
      <c r="P42" s="351"/>
      <c r="Q42" s="351"/>
      <c r="R42" s="351"/>
      <c r="S42" s="351"/>
      <c r="T42" s="351"/>
      <c r="U42" s="6"/>
    </row>
    <row r="43" spans="1:21" ht="15" customHeight="1" thickBot="1">
      <c r="A43" s="4"/>
      <c r="B43" s="328" t="s">
        <v>62</v>
      </c>
      <c r="C43" s="329"/>
      <c r="D43" s="330"/>
      <c r="E43" s="331" t="s">
        <v>58</v>
      </c>
      <c r="F43" s="332"/>
      <c r="G43" s="333">
        <v>1</v>
      </c>
      <c r="H43" s="334"/>
      <c r="I43" s="335">
        <v>0</v>
      </c>
      <c r="J43" s="336"/>
      <c r="K43" s="334"/>
      <c r="L43" s="458">
        <v>0</v>
      </c>
      <c r="M43" s="336"/>
      <c r="N43" s="459"/>
      <c r="O43" s="353">
        <v>0</v>
      </c>
      <c r="P43" s="351"/>
      <c r="Q43" s="351"/>
      <c r="R43" s="351">
        <v>0</v>
      </c>
      <c r="S43" s="351"/>
      <c r="T43" s="351"/>
      <c r="U43" s="54">
        <f>R43/G43</f>
        <v>0</v>
      </c>
    </row>
    <row r="44" spans="1:21" ht="15.75" thickBot="1">
      <c r="A44" s="4"/>
      <c r="B44" s="342" t="s">
        <v>21</v>
      </c>
      <c r="C44" s="343"/>
      <c r="D44" s="343"/>
      <c r="E44" s="343"/>
      <c r="F44" s="344"/>
      <c r="G44" s="345"/>
      <c r="H44" s="346"/>
      <c r="I44" s="346"/>
      <c r="J44" s="346"/>
      <c r="K44" s="346"/>
      <c r="L44" s="346"/>
      <c r="M44" s="346"/>
      <c r="N44" s="347"/>
      <c r="O44" s="345"/>
      <c r="P44" s="346"/>
      <c r="Q44" s="346"/>
      <c r="R44" s="346"/>
      <c r="S44" s="346"/>
      <c r="T44" s="346"/>
      <c r="U44" s="347"/>
    </row>
    <row r="45" spans="1:21" ht="15.75" thickBot="1">
      <c r="B45" s="7"/>
      <c r="C45" s="8"/>
      <c r="D45" s="9"/>
      <c r="E45" s="10"/>
      <c r="F45" s="11"/>
      <c r="G45" s="12"/>
      <c r="H45" s="13"/>
      <c r="I45" s="14"/>
      <c r="J45" s="14"/>
      <c r="K45" s="15"/>
      <c r="L45" s="14"/>
      <c r="M45" s="15"/>
      <c r="N45" s="14"/>
      <c r="O45" s="14"/>
      <c r="P45" s="14"/>
      <c r="Q45" s="14"/>
      <c r="R45" s="15"/>
      <c r="S45" s="14"/>
      <c r="T45" s="12"/>
      <c r="U45" s="14"/>
    </row>
    <row r="46" spans="1:21" ht="16.5" customHeight="1" thickBot="1">
      <c r="A46" s="4"/>
      <c r="B46" s="306" t="s">
        <v>22</v>
      </c>
      <c r="C46" s="307"/>
      <c r="D46" s="307"/>
      <c r="E46" s="307"/>
      <c r="F46" s="308"/>
      <c r="G46" s="312" t="s">
        <v>129</v>
      </c>
      <c r="H46" s="313"/>
      <c r="I46" s="313"/>
      <c r="J46" s="313"/>
      <c r="K46" s="313"/>
      <c r="L46" s="313"/>
      <c r="M46" s="313"/>
      <c r="N46" s="313"/>
      <c r="O46" s="313"/>
      <c r="P46" s="313"/>
      <c r="Q46" s="313"/>
      <c r="R46" s="313"/>
      <c r="S46" s="313"/>
      <c r="T46" s="313"/>
      <c r="U46" s="314"/>
    </row>
    <row r="47" spans="1:21" ht="15.75" customHeight="1" thickBot="1">
      <c r="A47" s="4"/>
      <c r="B47" s="309"/>
      <c r="C47" s="310"/>
      <c r="D47" s="310"/>
      <c r="E47" s="310"/>
      <c r="F47" s="311"/>
      <c r="G47" s="315" t="s">
        <v>24</v>
      </c>
      <c r="H47" s="316"/>
      <c r="I47" s="310" t="s">
        <v>120</v>
      </c>
      <c r="J47" s="310"/>
      <c r="K47" s="310"/>
      <c r="L47" s="310"/>
      <c r="M47" s="310"/>
      <c r="N47" s="311"/>
      <c r="O47" s="321" t="s">
        <v>121</v>
      </c>
      <c r="P47" s="322"/>
      <c r="Q47" s="322"/>
      <c r="R47" s="322"/>
      <c r="S47" s="322"/>
      <c r="T47" s="322"/>
      <c r="U47" s="323"/>
    </row>
    <row r="48" spans="1:21" ht="15.75" customHeight="1" thickBot="1">
      <c r="A48" s="4"/>
      <c r="B48" s="309"/>
      <c r="C48" s="310"/>
      <c r="D48" s="310"/>
      <c r="E48" s="310"/>
      <c r="F48" s="311"/>
      <c r="G48" s="317"/>
      <c r="H48" s="318"/>
      <c r="I48" s="267" t="s">
        <v>18</v>
      </c>
      <c r="J48" s="268"/>
      <c r="K48" s="269"/>
      <c r="L48" s="267" t="s">
        <v>25</v>
      </c>
      <c r="M48" s="268"/>
      <c r="N48" s="269"/>
      <c r="O48" s="267" t="s">
        <v>18</v>
      </c>
      <c r="P48" s="268"/>
      <c r="Q48" s="324"/>
      <c r="R48" s="325" t="s">
        <v>25</v>
      </c>
      <c r="S48" s="268"/>
      <c r="T48" s="269"/>
      <c r="U48" s="326" t="s">
        <v>20</v>
      </c>
    </row>
    <row r="49" spans="1:21" ht="25.5" customHeight="1" thickBot="1">
      <c r="A49" s="4"/>
      <c r="B49" s="309"/>
      <c r="C49" s="310"/>
      <c r="D49" s="310"/>
      <c r="E49" s="310"/>
      <c r="F49" s="311"/>
      <c r="G49" s="319"/>
      <c r="H49" s="320"/>
      <c r="I49" s="81" t="s">
        <v>26</v>
      </c>
      <c r="J49" s="79" t="s">
        <v>27</v>
      </c>
      <c r="K49" s="79" t="s">
        <v>28</v>
      </c>
      <c r="L49" s="81" t="s">
        <v>26</v>
      </c>
      <c r="M49" s="79" t="s">
        <v>27</v>
      </c>
      <c r="N49" s="82" t="s">
        <v>28</v>
      </c>
      <c r="O49" s="19" t="s">
        <v>26</v>
      </c>
      <c r="P49" s="81" t="s">
        <v>27</v>
      </c>
      <c r="Q49" s="20" t="s">
        <v>28</v>
      </c>
      <c r="R49" s="21" t="s">
        <v>26</v>
      </c>
      <c r="S49" s="80" t="s">
        <v>27</v>
      </c>
      <c r="T49" s="79" t="s">
        <v>28</v>
      </c>
      <c r="U49" s="327"/>
    </row>
    <row r="50" spans="1:21" ht="15.75" thickBot="1">
      <c r="A50" s="4"/>
      <c r="B50" s="302" t="s">
        <v>29</v>
      </c>
      <c r="C50" s="303"/>
      <c r="D50" s="303"/>
      <c r="E50" s="303"/>
      <c r="F50" s="303"/>
      <c r="G50" s="303"/>
      <c r="H50" s="303"/>
      <c r="I50" s="303"/>
      <c r="J50" s="303"/>
      <c r="K50" s="303"/>
      <c r="L50" s="303"/>
      <c r="M50" s="303"/>
      <c r="N50" s="303"/>
      <c r="O50" s="303"/>
      <c r="P50" s="303"/>
      <c r="Q50" s="303"/>
      <c r="R50" s="303"/>
      <c r="S50" s="303"/>
      <c r="T50" s="303"/>
      <c r="U50" s="304"/>
    </row>
    <row r="51" spans="1:21" ht="15.75" customHeight="1">
      <c r="A51" s="23"/>
      <c r="B51" s="473" t="s">
        <v>82</v>
      </c>
      <c r="C51" s="474"/>
      <c r="D51" s="474"/>
      <c r="E51" s="474"/>
      <c r="F51" s="475"/>
      <c r="G51" s="290">
        <v>1908</v>
      </c>
      <c r="H51" s="305"/>
      <c r="I51" s="84">
        <v>0</v>
      </c>
      <c r="J51" s="67">
        <v>0</v>
      </c>
      <c r="K51" s="67">
        <v>0</v>
      </c>
      <c r="L51" s="67">
        <v>0</v>
      </c>
      <c r="M51" s="67">
        <v>0</v>
      </c>
      <c r="N51" s="67">
        <v>0</v>
      </c>
      <c r="O51" s="67">
        <v>0</v>
      </c>
      <c r="P51" s="67">
        <v>0</v>
      </c>
      <c r="Q51" s="68">
        <v>0</v>
      </c>
      <c r="R51" s="67">
        <v>0</v>
      </c>
      <c r="S51" s="67">
        <v>0</v>
      </c>
      <c r="T51" s="68">
        <v>0</v>
      </c>
      <c r="U51" s="69">
        <f>R51/G51</f>
        <v>0</v>
      </c>
    </row>
    <row r="52" spans="1:21">
      <c r="A52" s="23"/>
      <c r="B52" s="465" t="s">
        <v>83</v>
      </c>
      <c r="C52" s="466"/>
      <c r="D52" s="466"/>
      <c r="E52" s="466"/>
      <c r="F52" s="467"/>
      <c r="G52" s="277">
        <v>9000</v>
      </c>
      <c r="H52" s="292"/>
      <c r="I52" s="85">
        <v>0</v>
      </c>
      <c r="J52" s="70">
        <v>0</v>
      </c>
      <c r="K52" s="70">
        <v>0</v>
      </c>
      <c r="L52" s="70">
        <v>0</v>
      </c>
      <c r="M52" s="70">
        <v>0</v>
      </c>
      <c r="N52" s="70">
        <v>0</v>
      </c>
      <c r="O52" s="70">
        <v>0</v>
      </c>
      <c r="P52" s="70">
        <v>0</v>
      </c>
      <c r="Q52" s="70">
        <v>0</v>
      </c>
      <c r="R52" s="70">
        <v>0</v>
      </c>
      <c r="S52" s="70">
        <v>0</v>
      </c>
      <c r="T52" s="70">
        <v>0</v>
      </c>
      <c r="U52" s="71">
        <f>R52/G52</f>
        <v>0</v>
      </c>
    </row>
    <row r="53" spans="1:21" s="40" customFormat="1">
      <c r="A53" s="152"/>
      <c r="B53" s="274" t="s">
        <v>84</v>
      </c>
      <c r="C53" s="275"/>
      <c r="D53" s="275"/>
      <c r="E53" s="275"/>
      <c r="F53" s="276"/>
      <c r="G53" s="277">
        <v>15000</v>
      </c>
      <c r="H53" s="292"/>
      <c r="I53" s="142">
        <v>0</v>
      </c>
      <c r="J53" s="117">
        <v>0</v>
      </c>
      <c r="K53" s="117">
        <v>0</v>
      </c>
      <c r="L53" s="117">
        <v>0</v>
      </c>
      <c r="M53" s="117">
        <v>0</v>
      </c>
      <c r="N53" s="117">
        <v>0</v>
      </c>
      <c r="O53" s="117">
        <v>0</v>
      </c>
      <c r="P53" s="117">
        <v>0</v>
      </c>
      <c r="Q53" s="117">
        <v>0</v>
      </c>
      <c r="R53" s="117">
        <v>0</v>
      </c>
      <c r="S53" s="117">
        <v>0</v>
      </c>
      <c r="T53" s="117">
        <v>0</v>
      </c>
      <c r="U53" s="153">
        <f>R53/G53</f>
        <v>0</v>
      </c>
    </row>
    <row r="54" spans="1:21" s="40" customFormat="1">
      <c r="A54" s="152"/>
      <c r="B54" s="274" t="s">
        <v>85</v>
      </c>
      <c r="C54" s="275"/>
      <c r="D54" s="275"/>
      <c r="E54" s="275"/>
      <c r="F54" s="276"/>
      <c r="G54" s="277">
        <v>2000</v>
      </c>
      <c r="H54" s="292"/>
      <c r="I54" s="142">
        <v>0</v>
      </c>
      <c r="J54" s="117">
        <v>0</v>
      </c>
      <c r="K54" s="117">
        <v>0</v>
      </c>
      <c r="L54" s="117">
        <v>0</v>
      </c>
      <c r="M54" s="117">
        <v>0</v>
      </c>
      <c r="N54" s="117">
        <v>0</v>
      </c>
      <c r="O54" s="117">
        <v>0</v>
      </c>
      <c r="P54" s="117">
        <v>0</v>
      </c>
      <c r="Q54" s="117">
        <v>0</v>
      </c>
      <c r="R54" s="117">
        <v>0</v>
      </c>
      <c r="S54" s="117">
        <v>0</v>
      </c>
      <c r="T54" s="117">
        <v>0</v>
      </c>
      <c r="U54" s="153">
        <f t="shared" ref="U54" si="4">R54/G54</f>
        <v>0</v>
      </c>
    </row>
    <row r="55" spans="1:21" s="40" customFormat="1">
      <c r="A55" s="152"/>
      <c r="B55" s="274" t="s">
        <v>119</v>
      </c>
      <c r="C55" s="275"/>
      <c r="D55" s="275"/>
      <c r="E55" s="275"/>
      <c r="F55" s="276"/>
      <c r="G55" s="277">
        <v>198000</v>
      </c>
      <c r="H55" s="292"/>
      <c r="I55" s="142">
        <v>16500</v>
      </c>
      <c r="J55" s="117">
        <v>0</v>
      </c>
      <c r="K55" s="117">
        <v>0</v>
      </c>
      <c r="L55" s="117">
        <v>0</v>
      </c>
      <c r="M55" s="117">
        <v>0</v>
      </c>
      <c r="N55" s="117">
        <v>0</v>
      </c>
      <c r="O55" s="117">
        <f>16500+16500+16500</f>
        <v>49500</v>
      </c>
      <c r="P55" s="117">
        <v>0</v>
      </c>
      <c r="Q55" s="117">
        <v>0</v>
      </c>
      <c r="R55" s="117">
        <v>0</v>
      </c>
      <c r="S55" s="117">
        <v>0</v>
      </c>
      <c r="T55" s="117">
        <v>0</v>
      </c>
      <c r="U55" s="153">
        <f>R55/G55</f>
        <v>0</v>
      </c>
    </row>
    <row r="56" spans="1:21" s="40" customFormat="1" ht="15" customHeight="1">
      <c r="A56" s="152"/>
      <c r="B56" s="274" t="s">
        <v>130</v>
      </c>
      <c r="C56" s="275"/>
      <c r="D56" s="275"/>
      <c r="E56" s="275"/>
      <c r="F56" s="276"/>
      <c r="G56" s="277">
        <v>13000</v>
      </c>
      <c r="H56" s="292"/>
      <c r="I56" s="142">
        <v>0</v>
      </c>
      <c r="J56" s="117">
        <v>0</v>
      </c>
      <c r="K56" s="117">
        <v>0</v>
      </c>
      <c r="L56" s="117">
        <v>0</v>
      </c>
      <c r="M56" s="117">
        <v>0</v>
      </c>
      <c r="N56" s="117">
        <v>0</v>
      </c>
      <c r="O56" s="117">
        <v>0</v>
      </c>
      <c r="P56" s="117">
        <v>0</v>
      </c>
      <c r="Q56" s="117">
        <v>0</v>
      </c>
      <c r="R56" s="117">
        <v>0</v>
      </c>
      <c r="S56" s="117">
        <v>0</v>
      </c>
      <c r="T56" s="117">
        <v>0</v>
      </c>
      <c r="U56" s="153">
        <f>R56/G56</f>
        <v>0</v>
      </c>
    </row>
    <row r="57" spans="1:21" s="40" customFormat="1">
      <c r="A57" s="152"/>
      <c r="B57" s="274" t="s">
        <v>86</v>
      </c>
      <c r="C57" s="275"/>
      <c r="D57" s="275"/>
      <c r="E57" s="275"/>
      <c r="F57" s="276"/>
      <c r="G57" s="277">
        <v>30000</v>
      </c>
      <c r="H57" s="292"/>
      <c r="I57" s="142">
        <v>0</v>
      </c>
      <c r="J57" s="117">
        <v>0</v>
      </c>
      <c r="K57" s="117">
        <v>0</v>
      </c>
      <c r="L57" s="117">
        <v>0</v>
      </c>
      <c r="M57" s="117">
        <v>0</v>
      </c>
      <c r="N57" s="117">
        <v>0</v>
      </c>
      <c r="O57" s="117">
        <v>0</v>
      </c>
      <c r="P57" s="117">
        <v>0</v>
      </c>
      <c r="Q57" s="117">
        <v>0</v>
      </c>
      <c r="R57" s="117">
        <v>0</v>
      </c>
      <c r="S57" s="117">
        <v>0</v>
      </c>
      <c r="T57" s="117">
        <v>0</v>
      </c>
      <c r="U57" s="153">
        <f t="shared" ref="U57:U65" si="5">R57/G57</f>
        <v>0</v>
      </c>
    </row>
    <row r="58" spans="1:21" s="40" customFormat="1">
      <c r="A58" s="152"/>
      <c r="B58" s="274" t="s">
        <v>88</v>
      </c>
      <c r="C58" s="275"/>
      <c r="D58" s="275"/>
      <c r="E58" s="275"/>
      <c r="F58" s="276"/>
      <c r="G58" s="277">
        <v>5800</v>
      </c>
      <c r="H58" s="292"/>
      <c r="I58" s="142">
        <v>0</v>
      </c>
      <c r="J58" s="117">
        <v>0</v>
      </c>
      <c r="K58" s="117">
        <v>0</v>
      </c>
      <c r="L58" s="117">
        <v>0</v>
      </c>
      <c r="M58" s="117">
        <v>0</v>
      </c>
      <c r="N58" s="117">
        <v>0</v>
      </c>
      <c r="O58" s="117">
        <v>0</v>
      </c>
      <c r="P58" s="117">
        <v>0</v>
      </c>
      <c r="Q58" s="117">
        <v>0</v>
      </c>
      <c r="R58" s="117">
        <v>0</v>
      </c>
      <c r="S58" s="117">
        <v>0</v>
      </c>
      <c r="T58" s="117">
        <v>0</v>
      </c>
      <c r="U58" s="153">
        <f t="shared" si="5"/>
        <v>0</v>
      </c>
    </row>
    <row r="59" spans="1:21" s="40" customFormat="1">
      <c r="A59" s="152"/>
      <c r="B59" s="274" t="s">
        <v>131</v>
      </c>
      <c r="C59" s="275"/>
      <c r="D59" s="275"/>
      <c r="E59" s="275"/>
      <c r="F59" s="276"/>
      <c r="G59" s="277">
        <v>40000</v>
      </c>
      <c r="H59" s="292"/>
      <c r="I59" s="142">
        <v>0</v>
      </c>
      <c r="J59" s="117">
        <v>0</v>
      </c>
      <c r="K59" s="117">
        <v>0</v>
      </c>
      <c r="L59" s="117">
        <v>0</v>
      </c>
      <c r="M59" s="117">
        <v>0</v>
      </c>
      <c r="N59" s="117">
        <v>0</v>
      </c>
      <c r="O59" s="117">
        <v>0</v>
      </c>
      <c r="P59" s="117">
        <v>0</v>
      </c>
      <c r="Q59" s="117">
        <v>0</v>
      </c>
      <c r="R59" s="117">
        <v>0</v>
      </c>
      <c r="S59" s="117">
        <v>0</v>
      </c>
      <c r="T59" s="117">
        <v>0</v>
      </c>
      <c r="U59" s="153">
        <f t="shared" si="5"/>
        <v>0</v>
      </c>
    </row>
    <row r="60" spans="1:21" s="40" customFormat="1">
      <c r="A60" s="152"/>
      <c r="B60" s="274" t="s">
        <v>87</v>
      </c>
      <c r="C60" s="275"/>
      <c r="D60" s="275"/>
      <c r="E60" s="275"/>
      <c r="F60" s="276"/>
      <c r="G60" s="277">
        <v>9000</v>
      </c>
      <c r="H60" s="292"/>
      <c r="I60" s="142">
        <v>0</v>
      </c>
      <c r="J60" s="117">
        <v>0</v>
      </c>
      <c r="K60" s="117">
        <v>0</v>
      </c>
      <c r="L60" s="117">
        <v>0</v>
      </c>
      <c r="M60" s="117">
        <v>0</v>
      </c>
      <c r="N60" s="117">
        <v>0</v>
      </c>
      <c r="O60" s="117">
        <v>0</v>
      </c>
      <c r="P60" s="117">
        <v>0</v>
      </c>
      <c r="Q60" s="117">
        <v>0</v>
      </c>
      <c r="R60" s="117">
        <v>0</v>
      </c>
      <c r="S60" s="117">
        <v>0</v>
      </c>
      <c r="T60" s="117">
        <v>0</v>
      </c>
      <c r="U60" s="153">
        <f t="shared" si="5"/>
        <v>0</v>
      </c>
    </row>
    <row r="61" spans="1:21" s="40" customFormat="1">
      <c r="A61" s="152"/>
      <c r="B61" s="274" t="s">
        <v>89</v>
      </c>
      <c r="C61" s="275"/>
      <c r="D61" s="275"/>
      <c r="E61" s="275"/>
      <c r="F61" s="276"/>
      <c r="G61" s="277">
        <v>8000</v>
      </c>
      <c r="H61" s="292"/>
      <c r="I61" s="142">
        <v>0</v>
      </c>
      <c r="J61" s="117">
        <v>0</v>
      </c>
      <c r="K61" s="117">
        <v>0</v>
      </c>
      <c r="L61" s="117">
        <v>0</v>
      </c>
      <c r="M61" s="117">
        <v>0</v>
      </c>
      <c r="N61" s="117">
        <v>0</v>
      </c>
      <c r="O61" s="117">
        <v>0</v>
      </c>
      <c r="P61" s="117">
        <v>0</v>
      </c>
      <c r="Q61" s="117">
        <v>0</v>
      </c>
      <c r="R61" s="117">
        <v>0</v>
      </c>
      <c r="S61" s="117">
        <v>0</v>
      </c>
      <c r="T61" s="117">
        <v>0</v>
      </c>
      <c r="U61" s="153">
        <f t="shared" si="5"/>
        <v>0</v>
      </c>
    </row>
    <row r="62" spans="1:21" s="40" customFormat="1">
      <c r="A62" s="152"/>
      <c r="B62" s="274" t="s">
        <v>90</v>
      </c>
      <c r="C62" s="275"/>
      <c r="D62" s="275"/>
      <c r="E62" s="275"/>
      <c r="F62" s="276"/>
      <c r="G62" s="277">
        <v>9000</v>
      </c>
      <c r="H62" s="292"/>
      <c r="I62" s="142">
        <v>0</v>
      </c>
      <c r="J62" s="117">
        <v>0</v>
      </c>
      <c r="K62" s="117">
        <v>0</v>
      </c>
      <c r="L62" s="117">
        <v>0</v>
      </c>
      <c r="M62" s="117">
        <v>0</v>
      </c>
      <c r="N62" s="117">
        <v>0</v>
      </c>
      <c r="O62" s="117">
        <v>0</v>
      </c>
      <c r="P62" s="117">
        <v>0</v>
      </c>
      <c r="Q62" s="117">
        <v>0</v>
      </c>
      <c r="R62" s="117">
        <v>0</v>
      </c>
      <c r="S62" s="117">
        <v>0</v>
      </c>
      <c r="T62" s="117">
        <v>0</v>
      </c>
      <c r="U62" s="153">
        <f t="shared" si="5"/>
        <v>0</v>
      </c>
    </row>
    <row r="63" spans="1:21" s="40" customFormat="1">
      <c r="A63" s="152"/>
      <c r="B63" s="274" t="s">
        <v>64</v>
      </c>
      <c r="C63" s="275"/>
      <c r="D63" s="275"/>
      <c r="E63" s="275"/>
      <c r="F63" s="276"/>
      <c r="G63" s="277">
        <v>3750</v>
      </c>
      <c r="H63" s="292"/>
      <c r="I63" s="142">
        <v>0</v>
      </c>
      <c r="J63" s="117">
        <v>0</v>
      </c>
      <c r="K63" s="117">
        <v>0</v>
      </c>
      <c r="L63" s="117">
        <v>0</v>
      </c>
      <c r="M63" s="117">
        <v>0</v>
      </c>
      <c r="N63" s="117">
        <v>0</v>
      </c>
      <c r="O63" s="117">
        <v>0</v>
      </c>
      <c r="P63" s="117">
        <v>0</v>
      </c>
      <c r="Q63" s="117">
        <v>0</v>
      </c>
      <c r="R63" s="117">
        <v>0</v>
      </c>
      <c r="S63" s="117">
        <v>0</v>
      </c>
      <c r="T63" s="117">
        <v>0</v>
      </c>
      <c r="U63" s="153">
        <f t="shared" si="5"/>
        <v>0</v>
      </c>
    </row>
    <row r="64" spans="1:21" s="40" customFormat="1">
      <c r="A64" s="152"/>
      <c r="B64" s="274" t="s">
        <v>91</v>
      </c>
      <c r="C64" s="275"/>
      <c r="D64" s="275"/>
      <c r="E64" s="275"/>
      <c r="F64" s="276"/>
      <c r="G64" s="277">
        <v>6000</v>
      </c>
      <c r="H64" s="292"/>
      <c r="I64" s="142">
        <v>0</v>
      </c>
      <c r="J64" s="117">
        <v>0</v>
      </c>
      <c r="K64" s="117">
        <v>0</v>
      </c>
      <c r="L64" s="117">
        <v>0</v>
      </c>
      <c r="M64" s="117">
        <v>0</v>
      </c>
      <c r="N64" s="117">
        <v>0</v>
      </c>
      <c r="O64" s="117">
        <v>0</v>
      </c>
      <c r="P64" s="117">
        <v>0</v>
      </c>
      <c r="Q64" s="117">
        <v>0</v>
      </c>
      <c r="R64" s="117">
        <v>0</v>
      </c>
      <c r="S64" s="117">
        <v>0</v>
      </c>
      <c r="T64" s="117">
        <v>0</v>
      </c>
      <c r="U64" s="153">
        <f t="shared" si="5"/>
        <v>0</v>
      </c>
    </row>
    <row r="65" spans="1:21" s="40" customFormat="1">
      <c r="A65" s="152"/>
      <c r="B65" s="274" t="s">
        <v>81</v>
      </c>
      <c r="C65" s="275"/>
      <c r="D65" s="275"/>
      <c r="E65" s="275"/>
      <c r="F65" s="276"/>
      <c r="G65" s="277">
        <v>195000</v>
      </c>
      <c r="H65" s="292"/>
      <c r="I65" s="142">
        <v>78000</v>
      </c>
      <c r="J65" s="117">
        <v>0</v>
      </c>
      <c r="K65" s="117">
        <v>0</v>
      </c>
      <c r="L65" s="117">
        <v>74723.350000000006</v>
      </c>
      <c r="M65" s="117">
        <v>0</v>
      </c>
      <c r="N65" s="117">
        <v>0</v>
      </c>
      <c r="O65" s="117">
        <f>26000+26000+26000</f>
        <v>78000</v>
      </c>
      <c r="P65" s="117">
        <v>0</v>
      </c>
      <c r="Q65" s="117">
        <v>0</v>
      </c>
      <c r="R65" s="117">
        <f>23416.71+27887.03+23419.61</f>
        <v>74723.350000000006</v>
      </c>
      <c r="S65" s="117">
        <v>0</v>
      </c>
      <c r="T65" s="117">
        <v>0</v>
      </c>
      <c r="U65" s="153">
        <f t="shared" si="5"/>
        <v>0.38319666666666669</v>
      </c>
    </row>
    <row r="66" spans="1:21" ht="15" customHeight="1">
      <c r="A66" s="23"/>
      <c r="B66" s="465" t="s">
        <v>132</v>
      </c>
      <c r="C66" s="466"/>
      <c r="D66" s="466"/>
      <c r="E66" s="466"/>
      <c r="F66" s="467"/>
      <c r="G66" s="277">
        <v>1900</v>
      </c>
      <c r="H66" s="292"/>
      <c r="I66" s="85">
        <v>0</v>
      </c>
      <c r="J66" s="70">
        <v>0</v>
      </c>
      <c r="K66" s="70">
        <v>0</v>
      </c>
      <c r="L66" s="70">
        <v>0</v>
      </c>
      <c r="M66" s="70">
        <v>0</v>
      </c>
      <c r="N66" s="70">
        <v>0</v>
      </c>
      <c r="O66" s="70">
        <v>0</v>
      </c>
      <c r="P66" s="70">
        <v>0</v>
      </c>
      <c r="Q66" s="70">
        <v>0</v>
      </c>
      <c r="R66" s="70">
        <v>0</v>
      </c>
      <c r="S66" s="70">
        <v>0</v>
      </c>
      <c r="T66" s="70">
        <v>0</v>
      </c>
      <c r="U66" s="71">
        <f>R66/G66</f>
        <v>0</v>
      </c>
    </row>
    <row r="67" spans="1:21" ht="15" customHeight="1">
      <c r="A67" s="23"/>
      <c r="B67" s="465" t="s">
        <v>133</v>
      </c>
      <c r="C67" s="466"/>
      <c r="D67" s="466"/>
      <c r="E67" s="466"/>
      <c r="F67" s="467"/>
      <c r="G67" s="277">
        <v>20000</v>
      </c>
      <c r="H67" s="292"/>
      <c r="I67" s="85">
        <v>0</v>
      </c>
      <c r="J67" s="26">
        <v>0</v>
      </c>
      <c r="K67" s="26">
        <v>0</v>
      </c>
      <c r="L67" s="26">
        <v>0</v>
      </c>
      <c r="M67" s="26">
        <v>0</v>
      </c>
      <c r="N67" s="26">
        <v>0</v>
      </c>
      <c r="O67" s="26">
        <v>0</v>
      </c>
      <c r="P67" s="26">
        <v>0</v>
      </c>
      <c r="Q67" s="26">
        <v>0</v>
      </c>
      <c r="R67" s="26">
        <v>0</v>
      </c>
      <c r="S67" s="26">
        <v>0</v>
      </c>
      <c r="T67" s="26">
        <v>0</v>
      </c>
      <c r="U67" s="65">
        <f>R67/G67</f>
        <v>0</v>
      </c>
    </row>
    <row r="68" spans="1:21" ht="15" customHeight="1">
      <c r="A68" s="23"/>
      <c r="B68" s="274" t="s">
        <v>134</v>
      </c>
      <c r="C68" s="275"/>
      <c r="D68" s="275"/>
      <c r="E68" s="275"/>
      <c r="F68" s="276"/>
      <c r="G68" s="277">
        <v>7200</v>
      </c>
      <c r="H68" s="292"/>
      <c r="I68" s="85">
        <v>0</v>
      </c>
      <c r="J68" s="26">
        <v>0</v>
      </c>
      <c r="K68" s="26">
        <v>0</v>
      </c>
      <c r="L68" s="26">
        <v>0</v>
      </c>
      <c r="M68" s="26">
        <v>0</v>
      </c>
      <c r="N68" s="26">
        <v>0</v>
      </c>
      <c r="O68" s="26">
        <v>0</v>
      </c>
      <c r="P68" s="26">
        <v>0</v>
      </c>
      <c r="Q68" s="26">
        <v>0</v>
      </c>
      <c r="R68" s="26">
        <v>0</v>
      </c>
      <c r="S68" s="26">
        <v>0</v>
      </c>
      <c r="T68" s="26">
        <v>0</v>
      </c>
      <c r="U68" s="65">
        <f>R68/G68</f>
        <v>0</v>
      </c>
    </row>
    <row r="69" spans="1:21" ht="15" customHeight="1">
      <c r="A69" s="23"/>
      <c r="B69" s="274" t="s">
        <v>79</v>
      </c>
      <c r="C69" s="275"/>
      <c r="D69" s="275"/>
      <c r="E69" s="275"/>
      <c r="F69" s="276"/>
      <c r="G69" s="277">
        <v>37500</v>
      </c>
      <c r="H69" s="292"/>
      <c r="I69" s="85">
        <v>0</v>
      </c>
      <c r="J69" s="26">
        <v>0</v>
      </c>
      <c r="K69" s="26">
        <v>0</v>
      </c>
      <c r="L69" s="26">
        <v>0</v>
      </c>
      <c r="M69" s="26">
        <v>0</v>
      </c>
      <c r="N69" s="26">
        <v>0</v>
      </c>
      <c r="O69" s="26">
        <v>0</v>
      </c>
      <c r="P69" s="26">
        <v>0</v>
      </c>
      <c r="Q69" s="26">
        <v>0</v>
      </c>
      <c r="R69" s="26">
        <v>0</v>
      </c>
      <c r="S69" s="26">
        <v>0</v>
      </c>
      <c r="T69" s="26">
        <v>0</v>
      </c>
      <c r="U69" s="65">
        <f t="shared" ref="U69:U70" si="6">R69/G69</f>
        <v>0</v>
      </c>
    </row>
    <row r="70" spans="1:21" ht="15" customHeight="1">
      <c r="A70" s="23"/>
      <c r="B70" s="274" t="s">
        <v>92</v>
      </c>
      <c r="C70" s="275"/>
      <c r="D70" s="275"/>
      <c r="E70" s="275"/>
      <c r="F70" s="276"/>
      <c r="G70" s="277">
        <v>39600</v>
      </c>
      <c r="H70" s="292"/>
      <c r="I70" s="85">
        <v>0</v>
      </c>
      <c r="J70" s="26">
        <v>0</v>
      </c>
      <c r="K70" s="26">
        <v>0</v>
      </c>
      <c r="L70" s="26">
        <v>0</v>
      </c>
      <c r="M70" s="26">
        <v>0</v>
      </c>
      <c r="N70" s="26">
        <v>0</v>
      </c>
      <c r="O70" s="26">
        <v>0</v>
      </c>
      <c r="P70" s="26">
        <v>0</v>
      </c>
      <c r="Q70" s="26">
        <v>0</v>
      </c>
      <c r="R70" s="26">
        <v>0</v>
      </c>
      <c r="S70" s="26">
        <v>0</v>
      </c>
      <c r="T70" s="26">
        <v>0</v>
      </c>
      <c r="U70" s="65">
        <f t="shared" si="6"/>
        <v>0</v>
      </c>
    </row>
    <row r="71" spans="1:21">
      <c r="A71" s="23"/>
      <c r="B71" s="274" t="s">
        <v>65</v>
      </c>
      <c r="C71" s="275"/>
      <c r="D71" s="275"/>
      <c r="E71" s="275"/>
      <c r="F71" s="276"/>
      <c r="G71" s="463">
        <v>23750</v>
      </c>
      <c r="H71" s="476"/>
      <c r="I71" s="85">
        <v>0</v>
      </c>
      <c r="J71" s="26">
        <v>0</v>
      </c>
      <c r="K71" s="26">
        <v>0</v>
      </c>
      <c r="L71" s="26">
        <v>0</v>
      </c>
      <c r="M71" s="26">
        <v>0</v>
      </c>
      <c r="N71" s="26">
        <v>0</v>
      </c>
      <c r="O71" s="26">
        <v>0</v>
      </c>
      <c r="P71" s="26">
        <v>0</v>
      </c>
      <c r="Q71" s="26">
        <v>0</v>
      </c>
      <c r="R71" s="26">
        <v>0</v>
      </c>
      <c r="S71" s="26">
        <v>0</v>
      </c>
      <c r="T71" s="26">
        <v>0</v>
      </c>
      <c r="U71" s="65">
        <f>R71/G71</f>
        <v>0</v>
      </c>
    </row>
    <row r="72" spans="1:21" ht="15.75" thickBot="1">
      <c r="A72" s="23"/>
      <c r="B72" s="453"/>
      <c r="C72" s="454"/>
      <c r="D72" s="454"/>
      <c r="E72" s="454"/>
      <c r="F72" s="455"/>
      <c r="G72" s="456"/>
      <c r="H72" s="457"/>
      <c r="I72" s="85"/>
      <c r="J72" s="26"/>
      <c r="K72" s="26"/>
      <c r="L72" s="26"/>
      <c r="M72" s="26"/>
      <c r="N72" s="26"/>
      <c r="O72" s="26"/>
      <c r="P72" s="26"/>
      <c r="Q72" s="26"/>
      <c r="R72" s="26"/>
      <c r="S72" s="26"/>
      <c r="T72" s="26"/>
      <c r="U72" s="27"/>
    </row>
    <row r="73" spans="1:21" ht="15.75" thickBot="1">
      <c r="A73" s="23"/>
      <c r="B73" s="257" t="s">
        <v>21</v>
      </c>
      <c r="C73" s="258"/>
      <c r="D73" s="258"/>
      <c r="E73" s="258"/>
      <c r="F73" s="259"/>
      <c r="G73" s="260">
        <f>SUM(G51:H72)</f>
        <v>675408</v>
      </c>
      <c r="H73" s="261"/>
      <c r="I73" s="29">
        <f>SUM(I51:I72)</f>
        <v>94500</v>
      </c>
      <c r="J73" s="29"/>
      <c r="K73" s="29"/>
      <c r="L73" s="29">
        <f>SUM(L51:L72)</f>
        <v>74723.350000000006</v>
      </c>
      <c r="M73" s="29"/>
      <c r="N73" s="29"/>
      <c r="O73" s="29">
        <f>SUM(O51:O72)</f>
        <v>127500</v>
      </c>
      <c r="P73" s="29"/>
      <c r="Q73" s="29"/>
      <c r="R73" s="29">
        <f>SUM(R51:R72)</f>
        <v>74723.350000000006</v>
      </c>
      <c r="S73" s="29"/>
      <c r="T73" s="30"/>
      <c r="U73" s="78">
        <f>R73/G73</f>
        <v>0.11063438691872172</v>
      </c>
    </row>
    <row r="74" spans="1:21" ht="15.75" thickBot="1">
      <c r="A74" s="23"/>
      <c r="B74" s="297"/>
      <c r="C74" s="297"/>
      <c r="D74" s="297"/>
      <c r="E74" s="297"/>
      <c r="F74" s="297"/>
      <c r="G74" s="298"/>
      <c r="H74" s="298"/>
      <c r="I74" s="85"/>
      <c r="J74" s="85"/>
      <c r="K74" s="85"/>
      <c r="L74" s="85"/>
      <c r="M74" s="85"/>
      <c r="N74" s="85"/>
      <c r="O74" s="85"/>
      <c r="P74" s="85"/>
      <c r="Q74" s="85"/>
      <c r="R74" s="85"/>
      <c r="S74" s="85"/>
      <c r="T74" s="85"/>
      <c r="U74" s="72"/>
    </row>
    <row r="75" spans="1:21" ht="15.75" thickBot="1">
      <c r="A75" s="23"/>
      <c r="B75" s="284" t="s">
        <v>30</v>
      </c>
      <c r="C75" s="285"/>
      <c r="D75" s="285"/>
      <c r="E75" s="285"/>
      <c r="F75" s="285"/>
      <c r="G75" s="285"/>
      <c r="H75" s="285"/>
      <c r="I75" s="285"/>
      <c r="J75" s="285"/>
      <c r="K75" s="285"/>
      <c r="L75" s="285"/>
      <c r="M75" s="285"/>
      <c r="N75" s="285"/>
      <c r="O75" s="285"/>
      <c r="P75" s="285"/>
      <c r="Q75" s="285"/>
      <c r="R75" s="285"/>
      <c r="S75" s="285"/>
      <c r="T75" s="285"/>
      <c r="U75" s="286"/>
    </row>
    <row r="76" spans="1:21" ht="15" customHeight="1">
      <c r="A76" s="23"/>
      <c r="B76" s="473" t="s">
        <v>80</v>
      </c>
      <c r="C76" s="474"/>
      <c r="D76" s="474"/>
      <c r="E76" s="474"/>
      <c r="F76" s="475"/>
      <c r="G76" s="471">
        <v>11500</v>
      </c>
      <c r="H76" s="472"/>
      <c r="I76" s="74">
        <v>0</v>
      </c>
      <c r="J76" s="74">
        <v>0</v>
      </c>
      <c r="K76" s="74">
        <v>0</v>
      </c>
      <c r="L76" s="74">
        <v>0</v>
      </c>
      <c r="M76" s="74">
        <v>0</v>
      </c>
      <c r="N76" s="74">
        <v>0</v>
      </c>
      <c r="O76" s="74">
        <v>0</v>
      </c>
      <c r="P76" s="74">
        <v>0</v>
      </c>
      <c r="Q76" s="74">
        <v>0</v>
      </c>
      <c r="R76" s="74">
        <v>0</v>
      </c>
      <c r="S76" s="74">
        <v>0</v>
      </c>
      <c r="T76" s="67">
        <v>0</v>
      </c>
      <c r="U76" s="75">
        <f t="shared" ref="U76:U83" si="7">R76/G76</f>
        <v>0</v>
      </c>
    </row>
    <row r="77" spans="1:21" s="40" customFormat="1">
      <c r="A77" s="152"/>
      <c r="B77" s="274" t="s">
        <v>124</v>
      </c>
      <c r="C77" s="275"/>
      <c r="D77" s="275"/>
      <c r="E77" s="275"/>
      <c r="F77" s="276"/>
      <c r="G77" s="277">
        <v>30000</v>
      </c>
      <c r="H77" s="278"/>
      <c r="I77" s="116">
        <v>0</v>
      </c>
      <c r="J77" s="116">
        <v>0</v>
      </c>
      <c r="K77" s="116">
        <v>0</v>
      </c>
      <c r="L77" s="116">
        <v>0</v>
      </c>
      <c r="M77" s="116">
        <v>0</v>
      </c>
      <c r="N77" s="116">
        <v>0</v>
      </c>
      <c r="O77" s="116">
        <v>0</v>
      </c>
      <c r="P77" s="116">
        <v>0</v>
      </c>
      <c r="Q77" s="116">
        <v>0</v>
      </c>
      <c r="R77" s="116">
        <v>0</v>
      </c>
      <c r="S77" s="116">
        <v>0</v>
      </c>
      <c r="T77" s="117">
        <v>0</v>
      </c>
      <c r="U77" s="153">
        <f t="shared" si="7"/>
        <v>0</v>
      </c>
    </row>
    <row r="78" spans="1:21">
      <c r="A78" s="23"/>
      <c r="B78" s="465" t="s">
        <v>123</v>
      </c>
      <c r="C78" s="466"/>
      <c r="D78" s="466"/>
      <c r="E78" s="466"/>
      <c r="F78" s="467"/>
      <c r="G78" s="463">
        <v>12328</v>
      </c>
      <c r="H78" s="464"/>
      <c r="I78" s="26">
        <v>12328</v>
      </c>
      <c r="J78" s="26">
        <v>0</v>
      </c>
      <c r="K78" s="26">
        <v>0</v>
      </c>
      <c r="L78" s="26">
        <v>0</v>
      </c>
      <c r="M78" s="26">
        <v>0</v>
      </c>
      <c r="N78" s="26">
        <v>0</v>
      </c>
      <c r="O78" s="26">
        <v>12328</v>
      </c>
      <c r="P78" s="26">
        <v>0</v>
      </c>
      <c r="Q78" s="26">
        <v>0</v>
      </c>
      <c r="R78" s="26">
        <v>0</v>
      </c>
      <c r="S78" s="26">
        <v>0</v>
      </c>
      <c r="T78" s="70">
        <v>0</v>
      </c>
      <c r="U78" s="71">
        <f t="shared" si="7"/>
        <v>0</v>
      </c>
    </row>
    <row r="79" spans="1:21" ht="15" customHeight="1">
      <c r="A79" s="23"/>
      <c r="B79" s="465" t="s">
        <v>66</v>
      </c>
      <c r="C79" s="466"/>
      <c r="D79" s="466"/>
      <c r="E79" s="466"/>
      <c r="F79" s="467"/>
      <c r="G79" s="463">
        <v>16000</v>
      </c>
      <c r="H79" s="464"/>
      <c r="I79" s="26">
        <v>0</v>
      </c>
      <c r="J79" s="26">
        <v>0</v>
      </c>
      <c r="K79" s="26">
        <v>0</v>
      </c>
      <c r="L79" s="26">
        <v>0</v>
      </c>
      <c r="M79" s="26">
        <v>0</v>
      </c>
      <c r="N79" s="26">
        <v>0</v>
      </c>
      <c r="O79" s="26">
        <v>0</v>
      </c>
      <c r="P79" s="26">
        <v>0</v>
      </c>
      <c r="Q79" s="26">
        <v>0</v>
      </c>
      <c r="R79" s="26">
        <v>0</v>
      </c>
      <c r="S79" s="26">
        <v>0</v>
      </c>
      <c r="T79" s="70">
        <v>0</v>
      </c>
      <c r="U79" s="71">
        <f t="shared" si="7"/>
        <v>0</v>
      </c>
    </row>
    <row r="80" spans="1:21" ht="15" customHeight="1">
      <c r="A80" s="23"/>
      <c r="B80" s="465" t="s">
        <v>67</v>
      </c>
      <c r="C80" s="466"/>
      <c r="D80" s="466"/>
      <c r="E80" s="466"/>
      <c r="F80" s="467"/>
      <c r="G80" s="463">
        <v>15000</v>
      </c>
      <c r="H80" s="464"/>
      <c r="I80" s="26">
        <v>0</v>
      </c>
      <c r="J80" s="26">
        <v>0</v>
      </c>
      <c r="K80" s="26">
        <v>0</v>
      </c>
      <c r="L80" s="26">
        <v>0</v>
      </c>
      <c r="M80" s="26">
        <v>0</v>
      </c>
      <c r="N80" s="26">
        <v>0</v>
      </c>
      <c r="O80" s="26">
        <v>0</v>
      </c>
      <c r="P80" s="26">
        <v>0</v>
      </c>
      <c r="Q80" s="26">
        <v>0</v>
      </c>
      <c r="R80" s="26">
        <v>0</v>
      </c>
      <c r="S80" s="26">
        <v>0</v>
      </c>
      <c r="T80" s="70">
        <v>0</v>
      </c>
      <c r="U80" s="71">
        <f t="shared" si="7"/>
        <v>0</v>
      </c>
    </row>
    <row r="81" spans="1:22" ht="15" customHeight="1">
      <c r="A81" s="23"/>
      <c r="B81" s="465" t="s">
        <v>93</v>
      </c>
      <c r="C81" s="466"/>
      <c r="D81" s="466"/>
      <c r="E81" s="466"/>
      <c r="F81" s="467"/>
      <c r="G81" s="463">
        <v>12000</v>
      </c>
      <c r="H81" s="464"/>
      <c r="I81" s="26">
        <v>0</v>
      </c>
      <c r="J81" s="26">
        <v>0</v>
      </c>
      <c r="K81" s="26">
        <v>0</v>
      </c>
      <c r="L81" s="26">
        <v>0</v>
      </c>
      <c r="M81" s="26">
        <v>0</v>
      </c>
      <c r="N81" s="26">
        <v>0</v>
      </c>
      <c r="O81" s="26">
        <v>0</v>
      </c>
      <c r="P81" s="26">
        <v>0</v>
      </c>
      <c r="Q81" s="26">
        <v>0</v>
      </c>
      <c r="R81" s="26">
        <v>0</v>
      </c>
      <c r="S81" s="26">
        <v>0</v>
      </c>
      <c r="T81" s="70">
        <v>0</v>
      </c>
      <c r="U81" s="71">
        <f t="shared" si="7"/>
        <v>0</v>
      </c>
    </row>
    <row r="82" spans="1:22" ht="15" customHeight="1">
      <c r="A82" s="23"/>
      <c r="B82" s="465" t="s">
        <v>69</v>
      </c>
      <c r="C82" s="466"/>
      <c r="D82" s="466"/>
      <c r="E82" s="466"/>
      <c r="F82" s="467"/>
      <c r="G82" s="463">
        <v>4400</v>
      </c>
      <c r="H82" s="464"/>
      <c r="I82" s="26">
        <v>0</v>
      </c>
      <c r="J82" s="26">
        <v>0</v>
      </c>
      <c r="K82" s="26">
        <v>0</v>
      </c>
      <c r="L82" s="26">
        <v>0</v>
      </c>
      <c r="M82" s="26">
        <v>0</v>
      </c>
      <c r="N82" s="26">
        <v>0</v>
      </c>
      <c r="O82" s="26">
        <v>0</v>
      </c>
      <c r="P82" s="26">
        <v>0</v>
      </c>
      <c r="Q82" s="26">
        <v>0</v>
      </c>
      <c r="R82" s="26">
        <v>0</v>
      </c>
      <c r="S82" s="26">
        <v>0</v>
      </c>
      <c r="T82" s="70">
        <v>0</v>
      </c>
      <c r="U82" s="71">
        <f t="shared" si="7"/>
        <v>0</v>
      </c>
    </row>
    <row r="83" spans="1:22" ht="15" customHeight="1">
      <c r="A83" s="23"/>
      <c r="B83" s="465" t="s">
        <v>94</v>
      </c>
      <c r="C83" s="466"/>
      <c r="D83" s="466"/>
      <c r="E83" s="466"/>
      <c r="F83" s="467"/>
      <c r="G83" s="463">
        <v>3200</v>
      </c>
      <c r="H83" s="464"/>
      <c r="I83" s="26">
        <v>0</v>
      </c>
      <c r="J83" s="26">
        <v>0</v>
      </c>
      <c r="K83" s="26">
        <v>0</v>
      </c>
      <c r="L83" s="26">
        <v>0</v>
      </c>
      <c r="M83" s="26">
        <v>0</v>
      </c>
      <c r="N83" s="26">
        <v>0</v>
      </c>
      <c r="O83" s="26">
        <v>0</v>
      </c>
      <c r="P83" s="26">
        <v>0</v>
      </c>
      <c r="Q83" s="26">
        <v>0</v>
      </c>
      <c r="R83" s="26">
        <v>0</v>
      </c>
      <c r="S83" s="26">
        <v>0</v>
      </c>
      <c r="T83" s="70">
        <v>0</v>
      </c>
      <c r="U83" s="71">
        <f t="shared" si="7"/>
        <v>0</v>
      </c>
    </row>
    <row r="84" spans="1:22" ht="15.75" thickBot="1">
      <c r="A84" s="23"/>
      <c r="B84" s="469"/>
      <c r="C84" s="297"/>
      <c r="D84" s="297"/>
      <c r="E84" s="297"/>
      <c r="F84" s="470"/>
      <c r="G84" s="456"/>
      <c r="H84" s="468"/>
      <c r="I84" s="55"/>
      <c r="J84" s="55"/>
      <c r="K84" s="55"/>
      <c r="L84" s="55"/>
      <c r="M84" s="55"/>
      <c r="N84" s="55"/>
      <c r="O84" s="55"/>
      <c r="P84" s="55"/>
      <c r="Q84" s="55"/>
      <c r="R84" s="55"/>
      <c r="S84" s="55"/>
      <c r="T84" s="76"/>
      <c r="U84" s="77"/>
    </row>
    <row r="85" spans="1:22" ht="15.75" thickBot="1">
      <c r="A85" s="23"/>
      <c r="B85" s="257" t="s">
        <v>21</v>
      </c>
      <c r="C85" s="258"/>
      <c r="D85" s="258"/>
      <c r="E85" s="258"/>
      <c r="F85" s="259"/>
      <c r="G85" s="260">
        <f>SUM(G76:H84)</f>
        <v>104428</v>
      </c>
      <c r="H85" s="261"/>
      <c r="I85" s="29">
        <f>SUM(I76:I84)</f>
        <v>12328</v>
      </c>
      <c r="J85" s="29"/>
      <c r="K85" s="29"/>
      <c r="L85" s="29">
        <f>SUM(L76:L84)</f>
        <v>0</v>
      </c>
      <c r="M85" s="29"/>
      <c r="N85" s="29"/>
      <c r="O85" s="29">
        <f>SUM(O76:O84)</f>
        <v>12328</v>
      </c>
      <c r="P85" s="29"/>
      <c r="Q85" s="29"/>
      <c r="R85" s="29">
        <f>SUM(R76:R84)</f>
        <v>0</v>
      </c>
      <c r="S85" s="30"/>
      <c r="T85" s="73"/>
      <c r="U85" s="71">
        <f t="shared" ref="U85" si="8">R85/G85</f>
        <v>0</v>
      </c>
    </row>
    <row r="86" spans="1:22" ht="15.75" thickBot="1">
      <c r="C86" s="32"/>
      <c r="I86" s="33"/>
      <c r="L86" s="33"/>
      <c r="N86" s="33"/>
      <c r="U86" s="33"/>
    </row>
    <row r="87" spans="1:22" ht="15.75" thickBot="1">
      <c r="B87" s="262" t="s">
        <v>31</v>
      </c>
      <c r="C87" s="263"/>
      <c r="D87" s="263"/>
      <c r="E87" s="263"/>
      <c r="F87" s="263"/>
      <c r="G87" s="263"/>
      <c r="H87" s="263"/>
      <c r="I87" s="263"/>
      <c r="J87" s="263"/>
      <c r="K87" s="263"/>
      <c r="L87" s="263"/>
      <c r="M87" s="263"/>
      <c r="N87" s="263"/>
      <c r="O87" s="263"/>
      <c r="P87" s="263"/>
      <c r="Q87" s="263"/>
      <c r="R87" s="263"/>
      <c r="S87" s="263"/>
      <c r="T87" s="263"/>
      <c r="U87" s="263"/>
      <c r="V87" s="34"/>
    </row>
    <row r="88" spans="1:22" ht="15" customHeight="1" thickBot="1">
      <c r="B88" s="264"/>
      <c r="C88" s="265"/>
      <c r="D88" s="267" t="s">
        <v>15</v>
      </c>
      <c r="E88" s="268"/>
      <c r="F88" s="268"/>
      <c r="G88" s="268"/>
      <c r="H88" s="268"/>
      <c r="I88" s="269"/>
      <c r="J88" s="267" t="s">
        <v>122</v>
      </c>
      <c r="K88" s="268"/>
      <c r="L88" s="268"/>
      <c r="M88" s="268"/>
      <c r="N88" s="268"/>
      <c r="O88" s="269"/>
      <c r="P88" s="267" t="s">
        <v>121</v>
      </c>
      <c r="Q88" s="268"/>
      <c r="R88" s="268"/>
      <c r="S88" s="268"/>
      <c r="T88" s="268"/>
      <c r="U88" s="269"/>
    </row>
    <row r="89" spans="1:22" ht="15.75" customHeight="1" thickBot="1">
      <c r="B89" s="219"/>
      <c r="C89" s="266"/>
      <c r="D89" s="270" t="s">
        <v>26</v>
      </c>
      <c r="E89" s="271"/>
      <c r="F89" s="272" t="s">
        <v>27</v>
      </c>
      <c r="G89" s="273"/>
      <c r="H89" s="268" t="s">
        <v>28</v>
      </c>
      <c r="I89" s="269"/>
      <c r="J89" s="272" t="s">
        <v>26</v>
      </c>
      <c r="K89" s="273"/>
      <c r="L89" s="272" t="s">
        <v>27</v>
      </c>
      <c r="M89" s="273"/>
      <c r="N89" s="268" t="s">
        <v>28</v>
      </c>
      <c r="O89" s="269"/>
      <c r="P89" s="272" t="s">
        <v>26</v>
      </c>
      <c r="Q89" s="273"/>
      <c r="R89" s="272" t="s">
        <v>27</v>
      </c>
      <c r="S89" s="273"/>
      <c r="T89" s="268" t="s">
        <v>28</v>
      </c>
      <c r="U89" s="269"/>
    </row>
    <row r="90" spans="1:22" ht="30" customHeight="1">
      <c r="A90" s="23"/>
      <c r="B90" s="250" t="s">
        <v>33</v>
      </c>
      <c r="C90" s="251"/>
      <c r="D90" s="252">
        <v>675408</v>
      </c>
      <c r="E90" s="253"/>
      <c r="F90" s="252">
        <v>0</v>
      </c>
      <c r="G90" s="253"/>
      <c r="H90" s="252">
        <v>0</v>
      </c>
      <c r="I90" s="253"/>
      <c r="J90" s="254">
        <v>74723.350000000006</v>
      </c>
      <c r="K90" s="255"/>
      <c r="L90" s="240">
        <v>0</v>
      </c>
      <c r="M90" s="253"/>
      <c r="N90" s="240">
        <v>0</v>
      </c>
      <c r="O90" s="256"/>
      <c r="P90" s="254">
        <f>23416.71+27887.03+23419.61</f>
        <v>74723.350000000006</v>
      </c>
      <c r="Q90" s="255"/>
      <c r="R90" s="240">
        <v>0</v>
      </c>
      <c r="S90" s="253"/>
      <c r="T90" s="240">
        <v>0</v>
      </c>
      <c r="U90" s="241"/>
    </row>
    <row r="91" spans="1:22" ht="30" customHeight="1" thickBot="1">
      <c r="A91" s="4"/>
      <c r="B91" s="242" t="s">
        <v>34</v>
      </c>
      <c r="C91" s="243"/>
      <c r="D91" s="244">
        <v>104428</v>
      </c>
      <c r="E91" s="245"/>
      <c r="F91" s="244">
        <v>0</v>
      </c>
      <c r="G91" s="245"/>
      <c r="H91" s="244">
        <v>0</v>
      </c>
      <c r="I91" s="245"/>
      <c r="J91" s="244">
        <v>0</v>
      </c>
      <c r="K91" s="245"/>
      <c r="L91" s="246">
        <v>0</v>
      </c>
      <c r="M91" s="245"/>
      <c r="N91" s="246">
        <v>0</v>
      </c>
      <c r="O91" s="247"/>
      <c r="P91" s="248">
        <v>0</v>
      </c>
      <c r="Q91" s="249"/>
      <c r="R91" s="246">
        <v>0</v>
      </c>
      <c r="S91" s="245"/>
      <c r="T91" s="246">
        <v>0</v>
      </c>
      <c r="U91" s="247"/>
    </row>
    <row r="92" spans="1:22" ht="15.75" thickBot="1">
      <c r="A92" s="23"/>
      <c r="B92" s="233" t="s">
        <v>21</v>
      </c>
      <c r="C92" s="234"/>
      <c r="D92" s="235">
        <f>SUM(D90:E91)</f>
        <v>779836</v>
      </c>
      <c r="E92" s="236"/>
      <c r="F92" s="235">
        <f>SUM(F90:G91)</f>
        <v>0</v>
      </c>
      <c r="G92" s="236"/>
      <c r="H92" s="235">
        <f>SUM(H90:I91)</f>
        <v>0</v>
      </c>
      <c r="I92" s="236"/>
      <c r="J92" s="237">
        <f>SUM(J90:K91)</f>
        <v>74723.350000000006</v>
      </c>
      <c r="K92" s="238"/>
      <c r="L92" s="215">
        <f>SUM(L90:M91)</f>
        <v>0</v>
      </c>
      <c r="M92" s="238"/>
      <c r="N92" s="236">
        <f>SUM(N90:O91)</f>
        <v>0</v>
      </c>
      <c r="O92" s="236"/>
      <c r="P92" s="237">
        <f>SUM(P90:Q91)</f>
        <v>74723.350000000006</v>
      </c>
      <c r="Q92" s="239"/>
      <c r="R92" s="215">
        <f>SUM(R90:S91)</f>
        <v>0</v>
      </c>
      <c r="S92" s="238"/>
      <c r="T92" s="215">
        <f>SUM(T90:U91)</f>
        <v>0</v>
      </c>
      <c r="U92" s="216"/>
    </row>
    <row r="93" spans="1:22">
      <c r="A93" s="23"/>
      <c r="B93" s="81"/>
      <c r="C93" s="81"/>
      <c r="D93" s="81"/>
      <c r="E93" s="81"/>
      <c r="F93" s="86"/>
      <c r="G93" s="86"/>
      <c r="H93" s="87"/>
      <c r="I93" s="87"/>
      <c r="J93" s="86"/>
      <c r="K93" s="86"/>
      <c r="L93" s="86"/>
      <c r="M93" s="87"/>
      <c r="N93" s="86"/>
      <c r="O93" s="87"/>
      <c r="P93" s="87"/>
      <c r="Q93" s="86"/>
      <c r="R93" s="23"/>
      <c r="S93" s="23"/>
      <c r="T93" s="23"/>
      <c r="U93" s="23"/>
    </row>
    <row r="94" spans="1:22" ht="15.75" thickBot="1">
      <c r="A94" s="23"/>
      <c r="B94" s="81"/>
      <c r="C94" s="81"/>
      <c r="D94" s="81"/>
      <c r="E94" s="81"/>
      <c r="F94" s="86"/>
      <c r="G94" s="86"/>
      <c r="H94" s="86"/>
      <c r="I94" s="86"/>
      <c r="J94" s="86"/>
      <c r="K94" s="86"/>
      <c r="L94" s="86"/>
      <c r="M94" s="86"/>
      <c r="N94" s="86"/>
      <c r="O94" s="86"/>
      <c r="P94" s="86"/>
      <c r="Q94" s="86"/>
      <c r="R94" s="23"/>
      <c r="S94" s="23"/>
      <c r="T94" s="23"/>
      <c r="U94" s="23"/>
    </row>
    <row r="95" spans="1:22" ht="15.75" thickBot="1">
      <c r="B95" s="217" t="s">
        <v>35</v>
      </c>
      <c r="C95" s="218"/>
      <c r="D95" s="218"/>
      <c r="E95" s="219"/>
      <c r="F95" s="205"/>
      <c r="G95" s="205"/>
      <c r="H95" s="205"/>
      <c r="I95" s="205"/>
      <c r="J95" s="205"/>
      <c r="K95" s="205"/>
      <c r="L95" s="205"/>
      <c r="M95" s="205"/>
      <c r="N95" s="205"/>
      <c r="O95" s="205"/>
      <c r="P95" s="205"/>
      <c r="Q95" s="205"/>
      <c r="R95" s="205"/>
      <c r="S95" s="205"/>
      <c r="T95" s="205"/>
      <c r="U95" s="205"/>
    </row>
    <row r="96" spans="1:22">
      <c r="B96" s="444"/>
      <c r="C96" s="445"/>
      <c r="D96" s="445"/>
      <c r="E96" s="445"/>
      <c r="F96" s="445"/>
      <c r="G96" s="445"/>
      <c r="H96" s="445"/>
      <c r="I96" s="445"/>
      <c r="J96" s="445"/>
      <c r="K96" s="445"/>
      <c r="L96" s="445"/>
      <c r="M96" s="445"/>
      <c r="N96" s="445"/>
      <c r="O96" s="445"/>
      <c r="P96" s="445"/>
      <c r="Q96" s="445"/>
      <c r="R96" s="445"/>
      <c r="S96" s="445"/>
      <c r="T96" s="445"/>
      <c r="U96" s="446"/>
    </row>
    <row r="97" spans="2:21">
      <c r="B97" s="447"/>
      <c r="C97" s="448"/>
      <c r="D97" s="448"/>
      <c r="E97" s="448"/>
      <c r="F97" s="448"/>
      <c r="G97" s="448"/>
      <c r="H97" s="448"/>
      <c r="I97" s="448"/>
      <c r="J97" s="448"/>
      <c r="K97" s="448"/>
      <c r="L97" s="448"/>
      <c r="M97" s="448"/>
      <c r="N97" s="448"/>
      <c r="O97" s="448"/>
      <c r="P97" s="448"/>
      <c r="Q97" s="448"/>
      <c r="R97" s="448"/>
      <c r="S97" s="448"/>
      <c r="T97" s="448"/>
      <c r="U97" s="449"/>
    </row>
    <row r="98" spans="2:21">
      <c r="B98" s="447"/>
      <c r="C98" s="448"/>
      <c r="D98" s="448"/>
      <c r="E98" s="448"/>
      <c r="F98" s="448"/>
      <c r="G98" s="448"/>
      <c r="H98" s="448"/>
      <c r="I98" s="448"/>
      <c r="J98" s="448"/>
      <c r="K98" s="448"/>
      <c r="L98" s="448"/>
      <c r="M98" s="448"/>
      <c r="N98" s="448"/>
      <c r="O98" s="448"/>
      <c r="P98" s="448"/>
      <c r="Q98" s="448"/>
      <c r="R98" s="448"/>
      <c r="S98" s="448"/>
      <c r="T98" s="448"/>
      <c r="U98" s="449"/>
    </row>
    <row r="99" spans="2:21">
      <c r="B99" s="447"/>
      <c r="C99" s="448"/>
      <c r="D99" s="448"/>
      <c r="E99" s="448"/>
      <c r="F99" s="448"/>
      <c r="G99" s="448"/>
      <c r="H99" s="448"/>
      <c r="I99" s="448"/>
      <c r="J99" s="448"/>
      <c r="K99" s="448"/>
      <c r="L99" s="448"/>
      <c r="M99" s="448"/>
      <c r="N99" s="448"/>
      <c r="O99" s="448"/>
      <c r="P99" s="448"/>
      <c r="Q99" s="448"/>
      <c r="R99" s="448"/>
      <c r="S99" s="448"/>
      <c r="T99" s="448"/>
      <c r="U99" s="449"/>
    </row>
    <row r="100" spans="2:21">
      <c r="B100" s="447"/>
      <c r="C100" s="448"/>
      <c r="D100" s="448"/>
      <c r="E100" s="448"/>
      <c r="F100" s="448"/>
      <c r="G100" s="448"/>
      <c r="H100" s="448"/>
      <c r="I100" s="448"/>
      <c r="J100" s="448"/>
      <c r="K100" s="448"/>
      <c r="L100" s="448"/>
      <c r="M100" s="448"/>
      <c r="N100" s="448"/>
      <c r="O100" s="448"/>
      <c r="P100" s="448"/>
      <c r="Q100" s="448"/>
      <c r="R100" s="448"/>
      <c r="S100" s="448"/>
      <c r="T100" s="448"/>
      <c r="U100" s="449"/>
    </row>
    <row r="101" spans="2:21">
      <c r="B101" s="447"/>
      <c r="C101" s="448"/>
      <c r="D101" s="448"/>
      <c r="E101" s="448"/>
      <c r="F101" s="448"/>
      <c r="G101" s="448"/>
      <c r="H101" s="448"/>
      <c r="I101" s="448"/>
      <c r="J101" s="448"/>
      <c r="K101" s="448"/>
      <c r="L101" s="448"/>
      <c r="M101" s="448"/>
      <c r="N101" s="448"/>
      <c r="O101" s="448"/>
      <c r="P101" s="448"/>
      <c r="Q101" s="448"/>
      <c r="R101" s="448"/>
      <c r="S101" s="448"/>
      <c r="T101" s="448"/>
      <c r="U101" s="449"/>
    </row>
    <row r="102" spans="2:21" ht="15.75" thickBot="1">
      <c r="B102" s="450"/>
      <c r="C102" s="451"/>
      <c r="D102" s="451"/>
      <c r="E102" s="451"/>
      <c r="F102" s="451"/>
      <c r="G102" s="451"/>
      <c r="H102" s="451"/>
      <c r="I102" s="451"/>
      <c r="J102" s="451"/>
      <c r="K102" s="451"/>
      <c r="L102" s="451"/>
      <c r="M102" s="451"/>
      <c r="N102" s="451"/>
      <c r="O102" s="451"/>
      <c r="P102" s="451"/>
      <c r="Q102" s="451"/>
      <c r="R102" s="451"/>
      <c r="S102" s="451"/>
      <c r="T102" s="451"/>
      <c r="U102" s="452"/>
    </row>
    <row r="103" spans="2:21">
      <c r="B103" s="23"/>
    </row>
    <row r="104" spans="2:21">
      <c r="H104" s="40"/>
      <c r="I104" s="40"/>
      <c r="O104" s="40"/>
      <c r="Q104" s="40"/>
    </row>
    <row r="105" spans="2:21">
      <c r="B105" s="220" t="s">
        <v>38</v>
      </c>
      <c r="C105" s="220"/>
      <c r="D105" s="220"/>
      <c r="E105" s="220"/>
      <c r="F105" s="220"/>
      <c r="G105" s="220"/>
      <c r="I105" s="41"/>
      <c r="J105" s="213" t="s">
        <v>36</v>
      </c>
      <c r="K105" s="213"/>
      <c r="L105" s="213"/>
      <c r="M105" s="213"/>
      <c r="N105" s="213"/>
      <c r="O105" s="213"/>
      <c r="R105" s="213" t="s">
        <v>37</v>
      </c>
      <c r="S105" s="213"/>
      <c r="T105" s="213"/>
      <c r="U105" s="213"/>
    </row>
    <row r="106" spans="2:21">
      <c r="B106" s="220"/>
      <c r="C106" s="220"/>
      <c r="D106" s="220"/>
      <c r="E106" s="220"/>
      <c r="F106" s="220"/>
      <c r="G106" s="220"/>
      <c r="H106" s="42"/>
      <c r="I106" s="42"/>
      <c r="J106" s="221"/>
      <c r="K106" s="221"/>
      <c r="L106" s="221"/>
      <c r="M106" s="221"/>
      <c r="N106" s="221"/>
      <c r="O106" s="221"/>
      <c r="P106" s="42"/>
      <c r="Q106" s="42"/>
      <c r="R106" s="210" t="s">
        <v>0</v>
      </c>
      <c r="S106" s="210"/>
      <c r="T106" s="210"/>
      <c r="U106" s="210"/>
    </row>
    <row r="107" spans="2:21">
      <c r="B107" s="220"/>
      <c r="C107" s="220"/>
      <c r="D107" s="220"/>
      <c r="E107" s="220"/>
      <c r="F107" s="220"/>
      <c r="G107" s="220"/>
      <c r="H107" s="167"/>
      <c r="I107" s="167"/>
      <c r="J107" s="221"/>
      <c r="K107" s="221"/>
      <c r="L107" s="221"/>
      <c r="M107" s="221"/>
      <c r="N107" s="221"/>
      <c r="O107" s="221"/>
      <c r="P107" s="167"/>
      <c r="Q107" s="167"/>
      <c r="R107" s="210"/>
      <c r="S107" s="210"/>
      <c r="T107" s="210"/>
      <c r="U107" s="210"/>
    </row>
    <row r="108" spans="2:21">
      <c r="B108" s="220"/>
      <c r="C108" s="220"/>
      <c r="D108" s="220"/>
      <c r="E108" s="220"/>
      <c r="F108" s="220"/>
      <c r="G108" s="220"/>
      <c r="H108" s="167"/>
      <c r="I108" s="167"/>
      <c r="J108" s="221"/>
      <c r="K108" s="221"/>
      <c r="L108" s="221"/>
      <c r="M108" s="221"/>
      <c r="N108" s="221"/>
      <c r="O108" s="221"/>
      <c r="P108" s="167"/>
      <c r="Q108" s="167"/>
      <c r="R108" s="210"/>
      <c r="S108" s="210"/>
      <c r="T108" s="210"/>
      <c r="U108" s="210"/>
    </row>
    <row r="109" spans="2:21">
      <c r="B109" s="220"/>
      <c r="C109" s="220"/>
      <c r="D109" s="220"/>
      <c r="E109" s="220"/>
      <c r="F109" s="220"/>
      <c r="G109" s="220"/>
      <c r="H109" s="167"/>
      <c r="I109" s="167"/>
      <c r="J109" s="221"/>
      <c r="K109" s="221"/>
      <c r="L109" s="221"/>
      <c r="M109" s="221"/>
      <c r="N109" s="221"/>
      <c r="O109" s="221"/>
      <c r="P109" s="167"/>
      <c r="Q109" s="167"/>
      <c r="R109" s="210"/>
      <c r="S109" s="210"/>
      <c r="T109" s="210"/>
      <c r="U109" s="210"/>
    </row>
    <row r="110" spans="2:21" ht="15.75" thickBot="1">
      <c r="B110" s="223"/>
      <c r="C110" s="223"/>
      <c r="D110" s="223"/>
      <c r="E110" s="223"/>
      <c r="F110" s="223"/>
      <c r="G110" s="223"/>
      <c r="J110" s="222"/>
      <c r="K110" s="222"/>
      <c r="L110" s="222"/>
      <c r="M110" s="222"/>
      <c r="N110" s="222"/>
      <c r="O110" s="222"/>
      <c r="R110" s="205"/>
      <c r="S110" s="205"/>
      <c r="T110" s="205"/>
      <c r="U110" s="205"/>
    </row>
    <row r="111" spans="2:21">
      <c r="B111" s="210" t="s">
        <v>101</v>
      </c>
      <c r="C111" s="210"/>
      <c r="D111" s="210"/>
      <c r="E111" s="210"/>
      <c r="F111" s="210"/>
      <c r="G111" s="210"/>
      <c r="J111" s="204" t="s">
        <v>102</v>
      </c>
      <c r="K111" s="204"/>
      <c r="L111" s="204"/>
      <c r="M111" s="204"/>
      <c r="N111" s="204"/>
      <c r="O111" s="204"/>
      <c r="R111" s="211" t="s">
        <v>136</v>
      </c>
      <c r="S111" s="211"/>
      <c r="T111" s="211"/>
      <c r="U111" s="211"/>
    </row>
    <row r="112" spans="2:21">
      <c r="B112" s="204" t="s">
        <v>103</v>
      </c>
      <c r="C112" s="204"/>
      <c r="D112" s="204"/>
      <c r="E112" s="204"/>
      <c r="F112" s="204"/>
      <c r="G112" s="204"/>
      <c r="J112" s="212" t="s">
        <v>104</v>
      </c>
      <c r="K112" s="212"/>
      <c r="L112" s="212"/>
      <c r="M112" s="212"/>
      <c r="N112" s="212"/>
      <c r="O112" s="212"/>
      <c r="P112" s="118"/>
      <c r="Q112" s="118"/>
      <c r="R112" s="212" t="s">
        <v>105</v>
      </c>
      <c r="S112" s="212"/>
      <c r="T112" s="212"/>
      <c r="U112" s="212"/>
    </row>
    <row r="114" spans="2:21">
      <c r="J114" s="213" t="s">
        <v>50</v>
      </c>
      <c r="K114" s="213"/>
      <c r="L114" s="213"/>
      <c r="M114" s="213"/>
      <c r="N114" s="213"/>
      <c r="O114" s="213"/>
    </row>
    <row r="115" spans="2:21">
      <c r="C115" s="214" t="s">
        <v>157</v>
      </c>
      <c r="D115" s="214"/>
      <c r="E115" s="214"/>
      <c r="F115" s="214"/>
      <c r="J115" s="206" t="s">
        <v>48</v>
      </c>
      <c r="K115" s="206"/>
      <c r="L115" s="206"/>
      <c r="M115" s="206"/>
      <c r="N115" s="206"/>
      <c r="O115" s="206"/>
      <c r="R115" s="206" t="s">
        <v>51</v>
      </c>
      <c r="S115" s="206"/>
      <c r="T115" s="206"/>
      <c r="U115" s="206"/>
    </row>
    <row r="116" spans="2:21">
      <c r="B116" s="204"/>
      <c r="C116" s="204"/>
      <c r="D116" s="204"/>
      <c r="E116" s="204"/>
      <c r="F116" s="204"/>
      <c r="G116" s="204"/>
      <c r="J116" s="206"/>
      <c r="K116" s="206"/>
      <c r="L116" s="206"/>
      <c r="M116" s="206"/>
      <c r="N116" s="206"/>
      <c r="O116" s="206"/>
      <c r="R116" s="204"/>
      <c r="S116" s="204"/>
      <c r="T116" s="204"/>
      <c r="U116" s="204"/>
    </row>
    <row r="117" spans="2:21">
      <c r="B117" s="204"/>
      <c r="C117" s="204"/>
      <c r="D117" s="204"/>
      <c r="E117" s="204"/>
      <c r="F117" s="204"/>
      <c r="G117" s="204"/>
      <c r="J117" s="206"/>
      <c r="K117" s="206"/>
      <c r="L117" s="206"/>
      <c r="M117" s="206"/>
      <c r="N117" s="206"/>
      <c r="O117" s="206"/>
      <c r="R117" s="204"/>
      <c r="S117" s="204"/>
      <c r="T117" s="204"/>
      <c r="U117" s="204"/>
    </row>
    <row r="118" spans="2:21">
      <c r="B118" s="204"/>
      <c r="C118" s="204"/>
      <c r="D118" s="204"/>
      <c r="E118" s="204"/>
      <c r="F118" s="204"/>
      <c r="G118" s="204"/>
      <c r="J118" s="206"/>
      <c r="K118" s="206"/>
      <c r="L118" s="206"/>
      <c r="M118" s="206"/>
      <c r="N118" s="206"/>
      <c r="O118" s="206"/>
      <c r="R118" s="204"/>
      <c r="S118" s="204"/>
      <c r="T118" s="204"/>
      <c r="U118" s="204"/>
    </row>
    <row r="119" spans="2:21" ht="15.75" thickBot="1">
      <c r="B119" s="205"/>
      <c r="C119" s="205"/>
      <c r="D119" s="205"/>
      <c r="E119" s="205"/>
      <c r="F119" s="205"/>
      <c r="G119" s="205"/>
      <c r="H119" s="51"/>
      <c r="I119" s="51"/>
      <c r="J119" s="207"/>
      <c r="K119" s="207"/>
      <c r="L119" s="207"/>
      <c r="M119" s="207"/>
      <c r="N119" s="207"/>
      <c r="O119" s="207"/>
      <c r="P119" s="51"/>
      <c r="Q119" s="51"/>
      <c r="R119" s="205"/>
      <c r="S119" s="205"/>
      <c r="T119" s="205"/>
      <c r="U119" s="205"/>
    </row>
    <row r="120" spans="2:21">
      <c r="B120" s="208" t="s">
        <v>106</v>
      </c>
      <c r="C120" s="208"/>
      <c r="D120" s="208"/>
      <c r="E120" s="208"/>
      <c r="F120" s="208"/>
      <c r="G120" s="208"/>
      <c r="H120" s="119"/>
      <c r="I120" s="119"/>
      <c r="J120" s="208" t="s">
        <v>107</v>
      </c>
      <c r="K120" s="208"/>
      <c r="L120" s="208"/>
      <c r="M120" s="208"/>
      <c r="N120" s="208"/>
      <c r="O120" s="208"/>
      <c r="P120" s="51"/>
      <c r="Q120" s="51"/>
      <c r="R120" s="208" t="s">
        <v>108</v>
      </c>
      <c r="S120" s="208"/>
      <c r="T120" s="208"/>
      <c r="U120" s="208"/>
    </row>
    <row r="121" spans="2:21" ht="32.25" customHeight="1">
      <c r="B121" s="209" t="s">
        <v>109</v>
      </c>
      <c r="C121" s="209"/>
      <c r="D121" s="209"/>
      <c r="E121" s="209"/>
      <c r="F121" s="209"/>
      <c r="G121" s="209"/>
      <c r="J121" s="209" t="s">
        <v>110</v>
      </c>
      <c r="K121" s="209"/>
      <c r="L121" s="209"/>
      <c r="M121" s="209"/>
      <c r="N121" s="209"/>
      <c r="O121" s="209"/>
      <c r="R121" s="209" t="s">
        <v>111</v>
      </c>
      <c r="S121" s="209"/>
      <c r="T121" s="209"/>
      <c r="U121" s="209"/>
    </row>
    <row r="123" spans="2:21" ht="23.25">
      <c r="B123" s="443" t="s">
        <v>96</v>
      </c>
      <c r="C123" s="443"/>
      <c r="D123" s="443"/>
      <c r="E123" s="443"/>
      <c r="F123" s="443"/>
      <c r="G123" s="443"/>
      <c r="H123" s="443"/>
      <c r="I123" s="443"/>
      <c r="J123" s="443"/>
      <c r="K123" s="443"/>
      <c r="L123" s="443"/>
      <c r="M123" s="443"/>
      <c r="N123" s="443"/>
      <c r="O123" s="443"/>
      <c r="P123" s="443"/>
      <c r="Q123" s="443"/>
      <c r="R123" s="443"/>
      <c r="S123" s="443"/>
      <c r="T123" s="443"/>
      <c r="U123" s="443"/>
    </row>
    <row r="124" spans="2:21" s="40" customFormat="1" ht="18" customHeight="1">
      <c r="B124" s="106"/>
      <c r="C124" s="106"/>
      <c r="D124" s="106"/>
      <c r="E124" s="106"/>
      <c r="F124" s="106"/>
      <c r="G124" s="106"/>
      <c r="H124" s="106"/>
      <c r="I124" s="106"/>
      <c r="J124" s="106"/>
      <c r="K124" s="106"/>
      <c r="L124" s="106"/>
      <c r="M124" s="106"/>
      <c r="N124" s="106"/>
      <c r="O124" s="106"/>
      <c r="P124" s="106"/>
      <c r="Q124" s="106"/>
      <c r="R124" s="106"/>
      <c r="S124" s="106"/>
      <c r="T124" s="106"/>
      <c r="U124" s="106"/>
    </row>
    <row r="125" spans="2:21" ht="15" customHeight="1"/>
    <row r="126" spans="2:21" ht="15" customHeight="1">
      <c r="F126" s="1"/>
      <c r="G126" s="1"/>
      <c r="H126" s="1"/>
      <c r="I126" s="1"/>
      <c r="J126" s="1"/>
      <c r="K126" s="1"/>
      <c r="L126" s="1"/>
      <c r="M126" s="1"/>
      <c r="N126" s="1"/>
      <c r="O126" s="1"/>
    </row>
    <row r="127" spans="2:21" ht="15" customHeight="1">
      <c r="B127" s="427" t="s">
        <v>135</v>
      </c>
      <c r="C127" s="427"/>
      <c r="D127" s="427"/>
      <c r="E127" s="427"/>
      <c r="F127" s="427"/>
      <c r="G127" s="427"/>
      <c r="H127" s="427"/>
      <c r="I127" s="427"/>
      <c r="J127" s="427"/>
      <c r="K127" s="427"/>
      <c r="L127" s="427"/>
      <c r="M127" s="427"/>
      <c r="N127" s="427"/>
      <c r="O127" s="427"/>
      <c r="P127" s="427"/>
      <c r="Q127" s="427"/>
      <c r="R127" s="427"/>
      <c r="S127" s="427"/>
      <c r="T127" s="427"/>
      <c r="U127" s="427"/>
    </row>
    <row r="128" spans="2:21" ht="15" customHeight="1">
      <c r="F128" t="s">
        <v>0</v>
      </c>
    </row>
    <row r="129" spans="1:31" ht="15" customHeight="1">
      <c r="B129" s="2"/>
      <c r="C129" s="2"/>
      <c r="D129" s="2"/>
      <c r="E129" s="2"/>
      <c r="F129" s="2"/>
      <c r="G129" s="2"/>
      <c r="H129" s="2"/>
      <c r="I129" s="2"/>
      <c r="J129" s="2"/>
      <c r="K129" s="2"/>
      <c r="L129" s="2"/>
      <c r="M129" s="2"/>
      <c r="N129" s="2"/>
      <c r="O129" s="2"/>
      <c r="P129" s="2"/>
      <c r="Q129" s="2"/>
      <c r="R129" s="2"/>
      <c r="S129" s="2"/>
      <c r="T129" s="2"/>
      <c r="U129" s="2"/>
    </row>
    <row r="130" spans="1:31" ht="15" customHeight="1" thickBot="1">
      <c r="B130" s="3"/>
      <c r="C130" s="3"/>
      <c r="D130" s="3"/>
      <c r="E130" s="3"/>
      <c r="F130" s="3"/>
      <c r="G130" s="3"/>
      <c r="H130" s="3"/>
      <c r="I130" s="3"/>
      <c r="J130" s="3"/>
      <c r="K130" s="3"/>
      <c r="L130" s="3"/>
      <c r="M130" s="3"/>
      <c r="N130" s="3"/>
      <c r="O130" s="3"/>
      <c r="P130" s="3"/>
      <c r="Q130" s="3"/>
      <c r="R130" s="3"/>
      <c r="S130" s="3"/>
      <c r="T130" s="3"/>
      <c r="U130" s="3"/>
    </row>
    <row r="131" spans="1:31" ht="15" customHeight="1">
      <c r="B131" s="385" t="s">
        <v>1</v>
      </c>
      <c r="C131" s="386"/>
      <c r="D131" s="386"/>
      <c r="E131" s="386"/>
      <c r="F131" s="387"/>
      <c r="G131" s="428" t="s">
        <v>164</v>
      </c>
      <c r="H131" s="429"/>
      <c r="I131" s="429"/>
      <c r="J131" s="429"/>
      <c r="K131" s="429"/>
      <c r="L131" s="429"/>
      <c r="M131" s="429"/>
      <c r="N131" s="429"/>
      <c r="O131" s="429"/>
      <c r="P131" s="429"/>
      <c r="Q131" s="429"/>
      <c r="R131" s="429"/>
      <c r="S131" s="429"/>
      <c r="T131" s="429"/>
      <c r="U131" s="430"/>
    </row>
    <row r="132" spans="1:31" ht="15" customHeight="1">
      <c r="A132" s="4"/>
      <c r="B132" s="431" t="s">
        <v>2</v>
      </c>
      <c r="C132" s="432"/>
      <c r="D132" s="432"/>
      <c r="E132" s="432"/>
      <c r="F132" s="433"/>
      <c r="G132" s="434" t="s">
        <v>163</v>
      </c>
      <c r="H132" s="435"/>
      <c r="I132" s="435"/>
      <c r="J132" s="435"/>
      <c r="K132" s="435"/>
      <c r="L132" s="435"/>
      <c r="M132" s="435"/>
      <c r="N132" s="435"/>
      <c r="O132" s="435"/>
      <c r="P132" s="435"/>
      <c r="Q132" s="435"/>
      <c r="R132" s="435"/>
      <c r="S132" s="435"/>
      <c r="T132" s="435"/>
      <c r="U132" s="436"/>
    </row>
    <row r="133" spans="1:31" ht="15" customHeight="1">
      <c r="A133" s="4"/>
      <c r="B133" s="385" t="s">
        <v>3</v>
      </c>
      <c r="C133" s="386"/>
      <c r="D133" s="386"/>
      <c r="E133" s="386"/>
      <c r="F133" s="387"/>
      <c r="G133" s="437" t="s">
        <v>156</v>
      </c>
      <c r="H133" s="438"/>
      <c r="I133" s="438"/>
      <c r="J133" s="438"/>
      <c r="K133" s="438"/>
      <c r="L133" s="438"/>
      <c r="M133" s="438"/>
      <c r="N133" s="438"/>
      <c r="O133" s="438"/>
      <c r="P133" s="438"/>
      <c r="Q133" s="438"/>
      <c r="R133" s="438"/>
      <c r="S133" s="438"/>
      <c r="T133" s="438"/>
      <c r="U133" s="439"/>
    </row>
    <row r="134" spans="1:31" ht="15" customHeight="1">
      <c r="A134" s="4"/>
      <c r="B134" s="385" t="s">
        <v>4</v>
      </c>
      <c r="C134" s="386"/>
      <c r="D134" s="386"/>
      <c r="E134" s="386"/>
      <c r="F134" s="387"/>
      <c r="G134" s="440" t="s">
        <v>165</v>
      </c>
      <c r="H134" s="441"/>
      <c r="I134" s="441"/>
      <c r="J134" s="441"/>
      <c r="K134" s="441"/>
      <c r="L134" s="441"/>
      <c r="M134" s="441"/>
      <c r="N134" s="441"/>
      <c r="O134" s="441"/>
      <c r="P134" s="441"/>
      <c r="Q134" s="441"/>
      <c r="R134" s="441"/>
      <c r="S134" s="441"/>
      <c r="T134" s="441"/>
      <c r="U134" s="442"/>
    </row>
    <row r="135" spans="1:31" ht="15" customHeight="1">
      <c r="A135" s="4"/>
      <c r="B135" s="385" t="s">
        <v>5</v>
      </c>
      <c r="C135" s="386"/>
      <c r="D135" s="386"/>
      <c r="E135" s="386"/>
      <c r="F135" s="387"/>
      <c r="G135" s="410" t="s">
        <v>6</v>
      </c>
      <c r="H135" s="411"/>
      <c r="I135" s="412">
        <v>779836</v>
      </c>
      <c r="J135" s="413"/>
      <c r="K135" s="413"/>
      <c r="L135" s="414"/>
      <c r="M135" s="5" t="s">
        <v>7</v>
      </c>
      <c r="N135" s="412">
        <v>0</v>
      </c>
      <c r="O135" s="413"/>
      <c r="P135" s="413"/>
      <c r="Q135" s="414"/>
      <c r="R135" s="415" t="s">
        <v>8</v>
      </c>
      <c r="S135" s="416"/>
      <c r="T135" s="412">
        <v>0</v>
      </c>
      <c r="U135" s="417"/>
    </row>
    <row r="136" spans="1:31">
      <c r="A136" s="4"/>
      <c r="B136" s="385" t="s">
        <v>9</v>
      </c>
      <c r="C136" s="386"/>
      <c r="D136" s="386"/>
      <c r="E136" s="386"/>
      <c r="F136" s="387"/>
      <c r="G136" s="418" t="s">
        <v>6</v>
      </c>
      <c r="H136" s="419"/>
      <c r="I136" s="412">
        <v>389918</v>
      </c>
      <c r="J136" s="413"/>
      <c r="K136" s="413"/>
      <c r="L136" s="414"/>
      <c r="M136" s="5" t="s">
        <v>7</v>
      </c>
      <c r="N136" s="420">
        <v>0</v>
      </c>
      <c r="O136" s="421"/>
      <c r="P136" s="421"/>
      <c r="Q136" s="422"/>
      <c r="R136" s="423"/>
      <c r="S136" s="424"/>
      <c r="T136" s="424"/>
      <c r="U136" s="425"/>
    </row>
    <row r="137" spans="1:31" ht="15.75" thickBot="1">
      <c r="A137" s="4"/>
      <c r="B137" s="385" t="s">
        <v>10</v>
      </c>
      <c r="C137" s="386"/>
      <c r="D137" s="386"/>
      <c r="E137" s="386"/>
      <c r="F137" s="387"/>
      <c r="G137" s="460" t="s">
        <v>126</v>
      </c>
      <c r="H137" s="461"/>
      <c r="I137" s="461"/>
      <c r="J137" s="461"/>
      <c r="K137" s="461"/>
      <c r="L137" s="461"/>
      <c r="M137" s="461"/>
      <c r="N137" s="461"/>
      <c r="O137" s="461"/>
      <c r="P137" s="461"/>
      <c r="Q137" s="461"/>
      <c r="R137" s="461"/>
      <c r="S137" s="461"/>
      <c r="T137" s="461"/>
      <c r="U137" s="462"/>
    </row>
    <row r="138" spans="1:31" ht="15.75" customHeight="1" thickBot="1">
      <c r="A138" s="4"/>
      <c r="B138" s="391" t="s">
        <v>11</v>
      </c>
      <c r="C138" s="392"/>
      <c r="D138" s="392"/>
      <c r="E138" s="392"/>
      <c r="F138" s="393"/>
      <c r="G138" s="394" t="s">
        <v>118</v>
      </c>
      <c r="H138" s="395"/>
      <c r="I138" s="395"/>
      <c r="J138" s="395"/>
      <c r="K138" s="395"/>
      <c r="L138" s="395"/>
      <c r="M138" s="395"/>
      <c r="N138" s="395"/>
      <c r="O138" s="395"/>
      <c r="P138" s="395"/>
      <c r="Q138" s="395"/>
      <c r="R138" s="395"/>
      <c r="S138" s="395"/>
      <c r="T138" s="395"/>
      <c r="U138" s="396"/>
    </row>
    <row r="139" spans="1:31" ht="15.75" thickBot="1">
      <c r="B139" s="397"/>
      <c r="C139" s="397"/>
      <c r="D139" s="397"/>
      <c r="E139" s="397"/>
      <c r="F139" s="397"/>
      <c r="G139" s="397"/>
      <c r="H139" s="397"/>
      <c r="I139" s="397"/>
      <c r="J139" s="397"/>
      <c r="K139" s="397"/>
      <c r="L139" s="397"/>
      <c r="M139" s="397"/>
      <c r="N139" s="397"/>
      <c r="O139" s="397"/>
      <c r="P139" s="397"/>
      <c r="Q139" s="397"/>
      <c r="R139" s="397"/>
      <c r="S139" s="397"/>
      <c r="T139" s="397"/>
      <c r="U139" s="397"/>
    </row>
    <row r="140" spans="1:31" ht="16.5" thickBot="1">
      <c r="A140" s="4"/>
      <c r="B140" s="306" t="s">
        <v>12</v>
      </c>
      <c r="C140" s="307"/>
      <c r="D140" s="308"/>
      <c r="E140" s="307" t="s">
        <v>13</v>
      </c>
      <c r="F140" s="308"/>
      <c r="G140" s="312" t="s">
        <v>14</v>
      </c>
      <c r="H140" s="313"/>
      <c r="I140" s="313"/>
      <c r="J140" s="313"/>
      <c r="K140" s="313"/>
      <c r="L140" s="313"/>
      <c r="M140" s="313"/>
      <c r="N140" s="313"/>
      <c r="O140" s="313"/>
      <c r="P140" s="313"/>
      <c r="Q140" s="313"/>
      <c r="R140" s="313"/>
      <c r="S140" s="313"/>
      <c r="T140" s="313"/>
      <c r="U140" s="314"/>
    </row>
    <row r="141" spans="1:31" ht="15.75" customHeight="1" thickBot="1">
      <c r="A141" s="4"/>
      <c r="B141" s="309"/>
      <c r="C141" s="310"/>
      <c r="D141" s="311"/>
      <c r="E141" s="310"/>
      <c r="F141" s="311"/>
      <c r="G141" s="315" t="s">
        <v>15</v>
      </c>
      <c r="H141" s="316"/>
      <c r="I141" s="267" t="s">
        <v>120</v>
      </c>
      <c r="J141" s="268"/>
      <c r="K141" s="268"/>
      <c r="L141" s="268"/>
      <c r="M141" s="268"/>
      <c r="N141" s="269"/>
      <c r="O141" s="403" t="s">
        <v>121</v>
      </c>
      <c r="P141" s="404"/>
      <c r="Q141" s="404"/>
      <c r="R141" s="404"/>
      <c r="S141" s="404"/>
      <c r="T141" s="404"/>
      <c r="U141" s="405"/>
    </row>
    <row r="142" spans="1:31" ht="15.75" thickBot="1">
      <c r="A142" s="4"/>
      <c r="B142" s="309"/>
      <c r="C142" s="310"/>
      <c r="D142" s="311"/>
      <c r="E142" s="310"/>
      <c r="F142" s="311"/>
      <c r="G142" s="317"/>
      <c r="H142" s="318"/>
      <c r="I142" s="315" t="s">
        <v>18</v>
      </c>
      <c r="J142" s="406"/>
      <c r="K142" s="406"/>
      <c r="L142" s="315" t="s">
        <v>19</v>
      </c>
      <c r="M142" s="406"/>
      <c r="N142" s="316"/>
      <c r="O142" s="408" t="s">
        <v>18</v>
      </c>
      <c r="P142" s="409"/>
      <c r="Q142" s="409"/>
      <c r="R142" s="315" t="s">
        <v>19</v>
      </c>
      <c r="S142" s="406"/>
      <c r="T142" s="406"/>
      <c r="U142" s="326" t="s">
        <v>20</v>
      </c>
    </row>
    <row r="143" spans="1:31" ht="15.75" customHeight="1" thickBot="1">
      <c r="A143" s="4"/>
      <c r="B143" s="398"/>
      <c r="C143" s="399"/>
      <c r="D143" s="400"/>
      <c r="E143" s="399"/>
      <c r="F143" s="400"/>
      <c r="G143" s="401"/>
      <c r="H143" s="402"/>
      <c r="I143" s="401"/>
      <c r="J143" s="407"/>
      <c r="K143" s="407"/>
      <c r="L143" s="401"/>
      <c r="M143" s="407"/>
      <c r="N143" s="402"/>
      <c r="O143" s="401"/>
      <c r="P143" s="407"/>
      <c r="Q143" s="407"/>
      <c r="R143" s="401"/>
      <c r="S143" s="407"/>
      <c r="T143" s="407"/>
      <c r="U143" s="327"/>
      <c r="V143" s="200" t="s">
        <v>158</v>
      </c>
      <c r="W143" s="201"/>
      <c r="X143" s="200" t="s">
        <v>159</v>
      </c>
      <c r="Y143" s="201"/>
      <c r="Z143" s="200" t="s">
        <v>161</v>
      </c>
      <c r="AA143" s="201"/>
      <c r="AB143" s="200" t="s">
        <v>160</v>
      </c>
      <c r="AC143" s="201"/>
      <c r="AD143" s="200" t="s">
        <v>162</v>
      </c>
      <c r="AE143" s="201"/>
    </row>
    <row r="144" spans="1:31" ht="15.75" thickBot="1">
      <c r="A144" s="4"/>
      <c r="B144" s="372" t="s">
        <v>59</v>
      </c>
      <c r="C144" s="373"/>
      <c r="D144" s="374"/>
      <c r="E144" s="375"/>
      <c r="F144" s="376"/>
      <c r="G144" s="377"/>
      <c r="H144" s="378"/>
      <c r="I144" s="379"/>
      <c r="J144" s="380"/>
      <c r="K144" s="378"/>
      <c r="L144" s="381"/>
      <c r="M144" s="380"/>
      <c r="N144" s="382"/>
      <c r="O144" s="383"/>
      <c r="P144" s="384"/>
      <c r="Q144" s="384"/>
      <c r="R144" s="384"/>
      <c r="S144" s="384"/>
      <c r="T144" s="384"/>
      <c r="U144" s="53"/>
      <c r="V144" s="202"/>
      <c r="W144" s="203"/>
      <c r="X144" s="202"/>
      <c r="Y144" s="203"/>
      <c r="Z144" s="202"/>
      <c r="AA144" s="203"/>
      <c r="AB144" s="202"/>
      <c r="AC144" s="203"/>
      <c r="AD144" s="202"/>
      <c r="AE144" s="203"/>
    </row>
    <row r="145" spans="1:31">
      <c r="A145" s="4"/>
      <c r="B145" s="354" t="s">
        <v>76</v>
      </c>
      <c r="C145" s="362"/>
      <c r="D145" s="363"/>
      <c r="E145" s="364"/>
      <c r="F145" s="365"/>
      <c r="G145" s="366"/>
      <c r="H145" s="367"/>
      <c r="I145" s="371"/>
      <c r="J145" s="370"/>
      <c r="K145" s="370"/>
      <c r="L145" s="370"/>
      <c r="M145" s="370"/>
      <c r="N145" s="365"/>
      <c r="O145" s="371"/>
      <c r="P145" s="370"/>
      <c r="Q145" s="370"/>
      <c r="R145" s="370"/>
      <c r="S145" s="370"/>
      <c r="T145" s="370"/>
      <c r="U145" s="102"/>
    </row>
    <row r="146" spans="1:31">
      <c r="A146" s="4"/>
      <c r="B146" s="328" t="s">
        <v>56</v>
      </c>
      <c r="C146" s="329"/>
      <c r="D146" s="330"/>
      <c r="E146" s="331" t="s">
        <v>58</v>
      </c>
      <c r="F146" s="332"/>
      <c r="G146" s="348">
        <v>170</v>
      </c>
      <c r="H146" s="359"/>
      <c r="I146" s="350">
        <v>0</v>
      </c>
      <c r="J146" s="351"/>
      <c r="K146" s="349"/>
      <c r="L146" s="350">
        <v>0</v>
      </c>
      <c r="M146" s="351"/>
      <c r="N146" s="352"/>
      <c r="O146" s="353">
        <v>170</v>
      </c>
      <c r="P146" s="351"/>
      <c r="Q146" s="349"/>
      <c r="R146" s="350">
        <v>170</v>
      </c>
      <c r="S146" s="351"/>
      <c r="T146" s="349"/>
      <c r="U146" s="6">
        <f t="shared" ref="U146" si="9">R146/G146</f>
        <v>1</v>
      </c>
      <c r="V146" s="193">
        <f>+'Mensual VEME2019'!I386+'Mensual VEME2019'!I506+'Mensual VEME2019'!I627</f>
        <v>0</v>
      </c>
      <c r="W146" s="193">
        <f>+I146-V146</f>
        <v>0</v>
      </c>
      <c r="X146" s="193">
        <f>+'Mensual VEME2019'!L386+'Mensual VEME2019'!L506+'Mensual VEME2019'!L627</f>
        <v>0</v>
      </c>
      <c r="Y146" s="193">
        <f>+L146-X146</f>
        <v>0</v>
      </c>
      <c r="Z146" s="193">
        <f>+V146+O27</f>
        <v>170</v>
      </c>
      <c r="AA146" s="193">
        <f>+O146-Z146</f>
        <v>0</v>
      </c>
      <c r="AB146" s="193">
        <f>+X146+R27</f>
        <v>170</v>
      </c>
      <c r="AC146" s="193">
        <f>+R146-AB146</f>
        <v>0</v>
      </c>
      <c r="AD146" s="195">
        <f>+AB146/G146</f>
        <v>1</v>
      </c>
      <c r="AE146" s="194">
        <f>+U146-AD146</f>
        <v>0</v>
      </c>
    </row>
    <row r="147" spans="1:31">
      <c r="A147" s="4"/>
      <c r="B147" s="328" t="s">
        <v>57</v>
      </c>
      <c r="C147" s="329"/>
      <c r="D147" s="330"/>
      <c r="E147" s="331" t="s">
        <v>58</v>
      </c>
      <c r="F147" s="332"/>
      <c r="G147" s="348">
        <v>4405</v>
      </c>
      <c r="H147" s="349"/>
      <c r="I147" s="350">
        <v>1175</v>
      </c>
      <c r="J147" s="351"/>
      <c r="K147" s="349"/>
      <c r="L147" s="350">
        <v>1028</v>
      </c>
      <c r="M147" s="351"/>
      <c r="N147" s="352"/>
      <c r="O147" s="353">
        <f>340+340+340+417+418+340</f>
        <v>2195</v>
      </c>
      <c r="P147" s="351"/>
      <c r="Q147" s="349"/>
      <c r="R147" s="350">
        <f>339+339+338+420+340+268</f>
        <v>2044</v>
      </c>
      <c r="S147" s="351"/>
      <c r="T147" s="349"/>
      <c r="U147" s="54">
        <f>R147/G147</f>
        <v>0.46401816118047673</v>
      </c>
      <c r="V147" s="193">
        <f>+'Mensual VEME2019'!I387+'Mensual VEME2019'!I507+'Mensual VEME2019'!I628</f>
        <v>1175</v>
      </c>
      <c r="W147" s="193">
        <f>+I147-V147</f>
        <v>0</v>
      </c>
      <c r="X147" s="193">
        <f>+'Mensual VEME2019'!L387+'Mensual VEME2019'!L507+'Mensual VEME2019'!L628</f>
        <v>1028</v>
      </c>
      <c r="Y147" s="193">
        <f>+L147-X147</f>
        <v>0</v>
      </c>
      <c r="Z147" s="193">
        <f>+V147+O28</f>
        <v>2195</v>
      </c>
      <c r="AA147" s="193">
        <f>+O147-Z147</f>
        <v>0</v>
      </c>
      <c r="AB147" s="193">
        <f>+X147+R28</f>
        <v>2044</v>
      </c>
      <c r="AC147" s="193">
        <f>+R147-AB147</f>
        <v>0</v>
      </c>
      <c r="AD147" s="195">
        <f>+AB147/G147</f>
        <v>0.46401816118047673</v>
      </c>
      <c r="AE147" s="194">
        <f>+U147-AD147</f>
        <v>0</v>
      </c>
    </row>
    <row r="148" spans="1:31" ht="15" customHeight="1">
      <c r="A148" s="4"/>
      <c r="B148" s="354" t="s">
        <v>77</v>
      </c>
      <c r="C148" s="362"/>
      <c r="D148" s="363"/>
      <c r="E148" s="364"/>
      <c r="F148" s="365"/>
      <c r="G148" s="366"/>
      <c r="H148" s="367"/>
      <c r="I148" s="371"/>
      <c r="J148" s="370"/>
      <c r="K148" s="370"/>
      <c r="L148" s="370"/>
      <c r="M148" s="370"/>
      <c r="N148" s="365"/>
      <c r="O148" s="371"/>
      <c r="P148" s="370"/>
      <c r="Q148" s="370"/>
      <c r="R148" s="370"/>
      <c r="S148" s="370"/>
      <c r="T148" s="370"/>
      <c r="U148" s="102"/>
    </row>
    <row r="149" spans="1:31">
      <c r="A149" s="4"/>
      <c r="B149" s="328" t="s">
        <v>56</v>
      </c>
      <c r="C149" s="329"/>
      <c r="D149" s="330"/>
      <c r="E149" s="331" t="s">
        <v>58</v>
      </c>
      <c r="F149" s="332"/>
      <c r="G149" s="348">
        <v>35</v>
      </c>
      <c r="H149" s="359"/>
      <c r="I149" s="350">
        <v>0</v>
      </c>
      <c r="J149" s="351"/>
      <c r="K149" s="349"/>
      <c r="L149" s="350">
        <v>0</v>
      </c>
      <c r="M149" s="351"/>
      <c r="N149" s="352"/>
      <c r="O149" s="353">
        <v>35</v>
      </c>
      <c r="P149" s="351"/>
      <c r="Q149" s="349"/>
      <c r="R149" s="350">
        <v>35</v>
      </c>
      <c r="S149" s="351"/>
      <c r="T149" s="349"/>
      <c r="U149" s="6">
        <f t="shared" ref="U149" si="10">R149/G149</f>
        <v>1</v>
      </c>
      <c r="V149" s="193">
        <f>+'Mensual VEME2019'!I389+'Mensual VEME2019'!I509+'Mensual VEME2019'!I630</f>
        <v>0</v>
      </c>
      <c r="W149" s="193">
        <f t="shared" ref="W149:W150" si="11">+I149-V149</f>
        <v>0</v>
      </c>
      <c r="X149" s="193">
        <f>+'Mensual VEME2019'!L389+'Mensual VEME2019'!L509+'Mensual VEME2019'!L630</f>
        <v>0</v>
      </c>
      <c r="Y149" s="193">
        <f t="shared" ref="Y149:Y150" si="12">+L149-X149</f>
        <v>0</v>
      </c>
      <c r="Z149" s="193">
        <f t="shared" ref="Z149:Z150" si="13">+V149+O30</f>
        <v>35</v>
      </c>
      <c r="AA149" s="193">
        <f t="shared" ref="AA149:AA150" si="14">+O149-Z149</f>
        <v>0</v>
      </c>
      <c r="AB149" s="193">
        <f t="shared" ref="AB149:AB150" si="15">+X149+R30</f>
        <v>35</v>
      </c>
      <c r="AC149" s="193">
        <f t="shared" ref="AC149:AC150" si="16">+R149-AB149</f>
        <v>0</v>
      </c>
      <c r="AD149" s="195">
        <f t="shared" ref="AD149:AD150" si="17">+AB149/G149</f>
        <v>1</v>
      </c>
      <c r="AE149" s="194">
        <f t="shared" ref="AE149:AE150" si="18">+U149-AD149</f>
        <v>0</v>
      </c>
    </row>
    <row r="150" spans="1:31">
      <c r="A150" s="4"/>
      <c r="B150" s="328" t="s">
        <v>57</v>
      </c>
      <c r="C150" s="329"/>
      <c r="D150" s="330"/>
      <c r="E150" s="331" t="s">
        <v>58</v>
      </c>
      <c r="F150" s="332"/>
      <c r="G150" s="348">
        <v>907</v>
      </c>
      <c r="H150" s="349"/>
      <c r="I150" s="360">
        <v>242</v>
      </c>
      <c r="J150" s="341"/>
      <c r="K150" s="361"/>
      <c r="L150" s="350">
        <v>212</v>
      </c>
      <c r="M150" s="351"/>
      <c r="N150" s="352"/>
      <c r="O150" s="353">
        <f>70+70+70+88+84+70</f>
        <v>452</v>
      </c>
      <c r="P150" s="351"/>
      <c r="Q150" s="349"/>
      <c r="R150" s="350">
        <f>70+70+70+88+69+55</f>
        <v>422</v>
      </c>
      <c r="S150" s="351"/>
      <c r="T150" s="349"/>
      <c r="U150" s="54">
        <f>R150/G150</f>
        <v>0.46527012127894157</v>
      </c>
      <c r="V150" s="193">
        <f>+'Mensual VEME2019'!I390+'Mensual VEME2019'!I510+'Mensual VEME2019'!I631</f>
        <v>242</v>
      </c>
      <c r="W150" s="193">
        <f t="shared" si="11"/>
        <v>0</v>
      </c>
      <c r="X150" s="193">
        <f>+'Mensual VEME2019'!L390+'Mensual VEME2019'!L510+'Mensual VEME2019'!L631</f>
        <v>212</v>
      </c>
      <c r="Y150" s="193">
        <f t="shared" si="12"/>
        <v>0</v>
      </c>
      <c r="Z150" s="193">
        <f t="shared" si="13"/>
        <v>452</v>
      </c>
      <c r="AA150" s="193">
        <f t="shared" si="14"/>
        <v>0</v>
      </c>
      <c r="AB150" s="193">
        <f t="shared" si="15"/>
        <v>422</v>
      </c>
      <c r="AC150" s="193">
        <f t="shared" si="16"/>
        <v>0</v>
      </c>
      <c r="AD150" s="195">
        <f t="shared" si="17"/>
        <v>0.46527012127894157</v>
      </c>
      <c r="AE150" s="194">
        <f t="shared" si="18"/>
        <v>0</v>
      </c>
    </row>
    <row r="151" spans="1:31" ht="15" customHeight="1">
      <c r="A151" s="4"/>
      <c r="B151" s="354" t="s">
        <v>78</v>
      </c>
      <c r="C151" s="362"/>
      <c r="D151" s="363"/>
      <c r="E151" s="364"/>
      <c r="F151" s="365"/>
      <c r="G151" s="366"/>
      <c r="H151" s="367"/>
      <c r="I151" s="368"/>
      <c r="J151" s="369"/>
      <c r="K151" s="369"/>
      <c r="L151" s="370"/>
      <c r="M151" s="370"/>
      <c r="N151" s="365"/>
      <c r="O151" s="371"/>
      <c r="P151" s="370"/>
      <c r="Q151" s="370"/>
      <c r="R151" s="370"/>
      <c r="S151" s="370"/>
      <c r="T151" s="370"/>
      <c r="U151" s="102"/>
    </row>
    <row r="152" spans="1:31">
      <c r="A152" s="4"/>
      <c r="B152" s="328" t="s">
        <v>56</v>
      </c>
      <c r="C152" s="329"/>
      <c r="D152" s="330"/>
      <c r="E152" s="331" t="s">
        <v>58</v>
      </c>
      <c r="F152" s="332"/>
      <c r="G152" s="348">
        <v>35</v>
      </c>
      <c r="H152" s="359"/>
      <c r="I152" s="360">
        <v>0</v>
      </c>
      <c r="J152" s="341"/>
      <c r="K152" s="361"/>
      <c r="L152" s="350">
        <v>0</v>
      </c>
      <c r="M152" s="351"/>
      <c r="N152" s="352"/>
      <c r="O152" s="353">
        <v>35</v>
      </c>
      <c r="P152" s="351"/>
      <c r="Q152" s="349"/>
      <c r="R152" s="350">
        <v>35</v>
      </c>
      <c r="S152" s="351"/>
      <c r="T152" s="349"/>
      <c r="U152" s="6">
        <f t="shared" ref="U152" si="19">R152/G152</f>
        <v>1</v>
      </c>
      <c r="V152" s="193">
        <f>+'Mensual VEME2019'!I392+'Mensual VEME2019'!I512+'Mensual VEME2019'!I633</f>
        <v>0</v>
      </c>
      <c r="W152" s="193">
        <f t="shared" ref="W152:W153" si="20">+I152-V152</f>
        <v>0</v>
      </c>
      <c r="X152" s="193">
        <f>+'Mensual VEME2019'!L392+'Mensual VEME2019'!L512+'Mensual VEME2019'!L633</f>
        <v>0</v>
      </c>
      <c r="Y152" s="193">
        <f t="shared" ref="Y152:Y153" si="21">+L152-X152</f>
        <v>0</v>
      </c>
      <c r="Z152" s="193">
        <f t="shared" ref="Z152:Z153" si="22">+V152+O33</f>
        <v>35</v>
      </c>
      <c r="AA152" s="193">
        <f t="shared" ref="AA152:AA153" si="23">+O152-Z152</f>
        <v>0</v>
      </c>
      <c r="AB152" s="193">
        <f t="shared" ref="AB152:AB153" si="24">+X152+R33</f>
        <v>35</v>
      </c>
      <c r="AC152" s="193">
        <f t="shared" ref="AC152:AC153" si="25">+R152-AB152</f>
        <v>0</v>
      </c>
      <c r="AD152" s="195">
        <f t="shared" ref="AD152:AD153" si="26">+AB152/G152</f>
        <v>1</v>
      </c>
      <c r="AE152" s="194">
        <f t="shared" ref="AE152:AE153" si="27">+U152-AD152</f>
        <v>0</v>
      </c>
    </row>
    <row r="153" spans="1:31">
      <c r="A153" s="4"/>
      <c r="B153" s="328" t="s">
        <v>57</v>
      </c>
      <c r="C153" s="329"/>
      <c r="D153" s="330"/>
      <c r="E153" s="331" t="s">
        <v>58</v>
      </c>
      <c r="F153" s="332"/>
      <c r="G153" s="348">
        <v>907</v>
      </c>
      <c r="H153" s="349"/>
      <c r="I153" s="360">
        <v>242</v>
      </c>
      <c r="J153" s="341"/>
      <c r="K153" s="361"/>
      <c r="L153" s="350">
        <v>212</v>
      </c>
      <c r="M153" s="351"/>
      <c r="N153" s="352"/>
      <c r="O153" s="353">
        <f>70+70+70+88+84+70</f>
        <v>452</v>
      </c>
      <c r="P153" s="351"/>
      <c r="Q153" s="349"/>
      <c r="R153" s="350">
        <f>70+70+70+88+69+55</f>
        <v>422</v>
      </c>
      <c r="S153" s="351"/>
      <c r="T153" s="349"/>
      <c r="U153" s="54">
        <f>R153/G153</f>
        <v>0.46527012127894157</v>
      </c>
      <c r="V153" s="193">
        <f>+'Mensual VEME2019'!I393+'Mensual VEME2019'!I513+'Mensual VEME2019'!I634</f>
        <v>242</v>
      </c>
      <c r="W153" s="193">
        <f t="shared" si="20"/>
        <v>0</v>
      </c>
      <c r="X153" s="193">
        <f>+'Mensual VEME2019'!L393+'Mensual VEME2019'!L513+'Mensual VEME2019'!L634</f>
        <v>212</v>
      </c>
      <c r="Y153" s="193">
        <f t="shared" si="21"/>
        <v>0</v>
      </c>
      <c r="Z153" s="193">
        <f t="shared" si="22"/>
        <v>452</v>
      </c>
      <c r="AA153" s="193">
        <f t="shared" si="23"/>
        <v>0</v>
      </c>
      <c r="AB153" s="193">
        <f t="shared" si="24"/>
        <v>422</v>
      </c>
      <c r="AC153" s="193">
        <f t="shared" si="25"/>
        <v>0</v>
      </c>
      <c r="AD153" s="195">
        <f t="shared" si="26"/>
        <v>0.46527012127894157</v>
      </c>
      <c r="AE153" s="194">
        <f t="shared" si="27"/>
        <v>0</v>
      </c>
    </row>
    <row r="154" spans="1:31" ht="15" customHeight="1">
      <c r="A154" s="4"/>
      <c r="B154" s="354" t="s">
        <v>79</v>
      </c>
      <c r="C154" s="362"/>
      <c r="D154" s="363"/>
      <c r="E154" s="364"/>
      <c r="F154" s="365"/>
      <c r="G154" s="366"/>
      <c r="H154" s="367"/>
      <c r="I154" s="368"/>
      <c r="J154" s="369"/>
      <c r="K154" s="369"/>
      <c r="L154" s="370"/>
      <c r="M154" s="370"/>
      <c r="N154" s="365"/>
      <c r="O154" s="371"/>
      <c r="P154" s="370"/>
      <c r="Q154" s="370"/>
      <c r="R154" s="370"/>
      <c r="S154" s="370"/>
      <c r="T154" s="370"/>
      <c r="U154" s="102"/>
    </row>
    <row r="155" spans="1:31">
      <c r="A155" s="4"/>
      <c r="B155" s="328" t="s">
        <v>56</v>
      </c>
      <c r="C155" s="329"/>
      <c r="D155" s="330"/>
      <c r="E155" s="331" t="s">
        <v>58</v>
      </c>
      <c r="F155" s="332"/>
      <c r="G155" s="348">
        <v>96</v>
      </c>
      <c r="H155" s="359"/>
      <c r="I155" s="360">
        <v>96</v>
      </c>
      <c r="J155" s="341"/>
      <c r="K155" s="361"/>
      <c r="L155" s="350">
        <v>96</v>
      </c>
      <c r="M155" s="351"/>
      <c r="N155" s="352"/>
      <c r="O155" s="353">
        <v>96</v>
      </c>
      <c r="P155" s="351"/>
      <c r="Q155" s="349"/>
      <c r="R155" s="350">
        <v>96</v>
      </c>
      <c r="S155" s="351"/>
      <c r="T155" s="349"/>
      <c r="U155" s="54">
        <f t="shared" ref="U155" si="28">R155/G155</f>
        <v>1</v>
      </c>
      <c r="V155" s="193">
        <f>+'Mensual VEME2019'!I395+'Mensual VEME2019'!I515+'Mensual VEME2019'!I636</f>
        <v>96</v>
      </c>
      <c r="W155" s="193">
        <f t="shared" ref="W155:W156" si="29">+I155-V155</f>
        <v>0</v>
      </c>
      <c r="X155" s="193">
        <f>+'Mensual VEME2019'!L395+'Mensual VEME2019'!L515+'Mensual VEME2019'!L636</f>
        <v>96</v>
      </c>
      <c r="Y155" s="193">
        <f t="shared" ref="Y155:Y156" si="30">+L155-X155</f>
        <v>0</v>
      </c>
      <c r="Z155" s="193">
        <f t="shared" ref="Z155:Z156" si="31">+V155+O36</f>
        <v>96</v>
      </c>
      <c r="AA155" s="193">
        <f t="shared" ref="AA155:AA156" si="32">+O155-Z155</f>
        <v>0</v>
      </c>
      <c r="AB155" s="193">
        <f t="shared" ref="AB155:AB156" si="33">+X155+R36</f>
        <v>96</v>
      </c>
      <c r="AC155" s="193">
        <f t="shared" ref="AC155:AC156" si="34">+R155-AB155</f>
        <v>0</v>
      </c>
      <c r="AD155" s="195">
        <f t="shared" ref="AD155:AD156" si="35">+AB155/G155</f>
        <v>1</v>
      </c>
      <c r="AE155" s="194">
        <f t="shared" ref="AE155:AE156" si="36">+U155-AD155</f>
        <v>0</v>
      </c>
    </row>
    <row r="156" spans="1:31">
      <c r="A156" s="4"/>
      <c r="B156" s="328" t="s">
        <v>57</v>
      </c>
      <c r="C156" s="329"/>
      <c r="D156" s="330"/>
      <c r="E156" s="331" t="s">
        <v>58</v>
      </c>
      <c r="F156" s="332"/>
      <c r="G156" s="348">
        <v>1440</v>
      </c>
      <c r="H156" s="349"/>
      <c r="I156" s="360">
        <v>576</v>
      </c>
      <c r="J156" s="341"/>
      <c r="K156" s="361"/>
      <c r="L156" s="350">
        <v>576</v>
      </c>
      <c r="M156" s="351"/>
      <c r="N156" s="352"/>
      <c r="O156" s="353">
        <f>126+258+192</f>
        <v>576</v>
      </c>
      <c r="P156" s="351"/>
      <c r="Q156" s="349"/>
      <c r="R156" s="350">
        <f>126+258+192</f>
        <v>576</v>
      </c>
      <c r="S156" s="351"/>
      <c r="T156" s="349"/>
      <c r="U156" s="54">
        <f>R156/G156</f>
        <v>0.4</v>
      </c>
      <c r="V156" s="193">
        <f>+'Mensual VEME2019'!I396+'Mensual VEME2019'!I516+'Mensual VEME2019'!I637</f>
        <v>576</v>
      </c>
      <c r="W156" s="193">
        <f t="shared" si="29"/>
        <v>0</v>
      </c>
      <c r="X156" s="193">
        <f>+'Mensual VEME2019'!L396+'Mensual VEME2019'!L516+'Mensual VEME2019'!L637</f>
        <v>576</v>
      </c>
      <c r="Y156" s="193">
        <f t="shared" si="30"/>
        <v>0</v>
      </c>
      <c r="Z156" s="193">
        <f t="shared" si="31"/>
        <v>576</v>
      </c>
      <c r="AA156" s="193">
        <f t="shared" si="32"/>
        <v>0</v>
      </c>
      <c r="AB156" s="193">
        <f t="shared" si="33"/>
        <v>576</v>
      </c>
      <c r="AC156" s="193">
        <f t="shared" si="34"/>
        <v>0</v>
      </c>
      <c r="AD156" s="195">
        <f t="shared" si="35"/>
        <v>0.4</v>
      </c>
      <c r="AE156" s="194">
        <f t="shared" si="36"/>
        <v>0</v>
      </c>
    </row>
    <row r="157" spans="1:31">
      <c r="A157" s="4"/>
      <c r="B157" s="354" t="s">
        <v>63</v>
      </c>
      <c r="C157" s="355"/>
      <c r="D157" s="356"/>
      <c r="E157" s="357"/>
      <c r="F157" s="358"/>
      <c r="G157" s="348"/>
      <c r="H157" s="349"/>
      <c r="I157" s="360"/>
      <c r="J157" s="341"/>
      <c r="K157" s="361"/>
      <c r="L157" s="353"/>
      <c r="M157" s="351"/>
      <c r="N157" s="352"/>
      <c r="O157" s="353"/>
      <c r="P157" s="351"/>
      <c r="Q157" s="351"/>
      <c r="R157" s="351"/>
      <c r="S157" s="351"/>
      <c r="T157" s="351"/>
      <c r="U157" s="6"/>
    </row>
    <row r="158" spans="1:31">
      <c r="A158" s="4"/>
      <c r="B158" s="328" t="s">
        <v>60</v>
      </c>
      <c r="C158" s="329"/>
      <c r="D158" s="330"/>
      <c r="E158" s="331" t="s">
        <v>58</v>
      </c>
      <c r="F158" s="332"/>
      <c r="G158" s="348">
        <v>12</v>
      </c>
      <c r="H158" s="359"/>
      <c r="I158" s="350">
        <v>2</v>
      </c>
      <c r="J158" s="351"/>
      <c r="K158" s="349"/>
      <c r="L158" s="350">
        <v>2</v>
      </c>
      <c r="M158" s="351"/>
      <c r="N158" s="352"/>
      <c r="O158" s="353">
        <f>2</f>
        <v>2</v>
      </c>
      <c r="P158" s="351"/>
      <c r="Q158" s="349"/>
      <c r="R158" s="350">
        <f>2</f>
        <v>2</v>
      </c>
      <c r="S158" s="351"/>
      <c r="T158" s="349"/>
      <c r="U158" s="54">
        <f>R158/G158</f>
        <v>0.16666666666666666</v>
      </c>
      <c r="V158" s="193">
        <f>+'Mensual VEME2019'!I398+'Mensual VEME2019'!I518+'Mensual VEME2019'!I639</f>
        <v>2</v>
      </c>
      <c r="W158" s="193">
        <f>+I158-V158</f>
        <v>0</v>
      </c>
      <c r="X158" s="193">
        <f>+'Mensual VEME2019'!L398+'Mensual VEME2019'!L518+'Mensual VEME2019'!L639</f>
        <v>2</v>
      </c>
      <c r="Y158" s="193">
        <f>+L158-X158</f>
        <v>0</v>
      </c>
      <c r="Z158" s="193">
        <f>+V158+O39</f>
        <v>2</v>
      </c>
      <c r="AA158" s="193">
        <f>+O158-Z158</f>
        <v>0</v>
      </c>
      <c r="AB158" s="193">
        <f>+X158+R39</f>
        <v>2</v>
      </c>
      <c r="AC158" s="193">
        <f>+R158-AB158</f>
        <v>0</v>
      </c>
      <c r="AD158" s="195">
        <f>+AB158/G158</f>
        <v>0.16666666666666666</v>
      </c>
      <c r="AE158" s="194">
        <f>+U158-AD158</f>
        <v>0</v>
      </c>
    </row>
    <row r="159" spans="1:31">
      <c r="A159" s="4"/>
      <c r="B159" s="354" t="s">
        <v>61</v>
      </c>
      <c r="C159" s="355"/>
      <c r="D159" s="356"/>
      <c r="E159" s="357"/>
      <c r="F159" s="358"/>
      <c r="G159" s="348"/>
      <c r="H159" s="349"/>
      <c r="I159" s="350"/>
      <c r="J159" s="351"/>
      <c r="K159" s="349"/>
      <c r="L159" s="353"/>
      <c r="M159" s="351"/>
      <c r="N159" s="352"/>
      <c r="O159" s="353"/>
      <c r="P159" s="351"/>
      <c r="Q159" s="351"/>
      <c r="R159" s="351"/>
      <c r="S159" s="351"/>
      <c r="T159" s="351"/>
      <c r="U159" s="6"/>
    </row>
    <row r="160" spans="1:31" ht="15" customHeight="1">
      <c r="A160" s="4"/>
      <c r="B160" s="328" t="s">
        <v>61</v>
      </c>
      <c r="C160" s="329"/>
      <c r="D160" s="330"/>
      <c r="E160" s="331" t="s">
        <v>58</v>
      </c>
      <c r="F160" s="332"/>
      <c r="G160" s="348">
        <v>15</v>
      </c>
      <c r="H160" s="349"/>
      <c r="I160" s="350">
        <v>5</v>
      </c>
      <c r="J160" s="351"/>
      <c r="K160" s="349"/>
      <c r="L160" s="350">
        <v>0</v>
      </c>
      <c r="M160" s="351"/>
      <c r="N160" s="352"/>
      <c r="O160" s="353">
        <f>5</f>
        <v>5</v>
      </c>
      <c r="P160" s="351"/>
      <c r="Q160" s="349"/>
      <c r="R160" s="350">
        <f>0</f>
        <v>0</v>
      </c>
      <c r="S160" s="351"/>
      <c r="T160" s="349"/>
      <c r="U160" s="54">
        <f>R160/G160</f>
        <v>0</v>
      </c>
      <c r="V160" s="193">
        <f>+'Mensual VEME2019'!I400+'Mensual VEME2019'!I520+'Mensual VEME2019'!I641</f>
        <v>5</v>
      </c>
      <c r="W160" s="193">
        <f>+I160-V160</f>
        <v>0</v>
      </c>
      <c r="X160" s="193">
        <f>+'Mensual VEME2019'!L400+'Mensual VEME2019'!L520+'Mensual VEME2019'!L641</f>
        <v>0</v>
      </c>
      <c r="Y160" s="193">
        <f>+L160-X160</f>
        <v>0</v>
      </c>
      <c r="Z160" s="193">
        <f>+V160+O41</f>
        <v>5</v>
      </c>
      <c r="AA160" s="193">
        <f>+O160-Z160</f>
        <v>0</v>
      </c>
      <c r="AB160" s="193">
        <f>+X160+R41</f>
        <v>0</v>
      </c>
      <c r="AC160" s="193">
        <f>+R160-AB160</f>
        <v>0</v>
      </c>
      <c r="AD160" s="195">
        <f>+AB160/G160</f>
        <v>0</v>
      </c>
      <c r="AE160" s="194">
        <f>+U160-AD160</f>
        <v>0</v>
      </c>
    </row>
    <row r="161" spans="1:31" ht="15" customHeight="1">
      <c r="A161" s="4"/>
      <c r="B161" s="354" t="s">
        <v>62</v>
      </c>
      <c r="C161" s="355"/>
      <c r="D161" s="356"/>
      <c r="E161" s="357"/>
      <c r="F161" s="358"/>
      <c r="G161" s="348"/>
      <c r="H161" s="349"/>
      <c r="I161" s="350"/>
      <c r="J161" s="351"/>
      <c r="K161" s="349"/>
      <c r="L161" s="353"/>
      <c r="M161" s="351"/>
      <c r="N161" s="352"/>
      <c r="O161" s="353"/>
      <c r="P161" s="351"/>
      <c r="Q161" s="351"/>
      <c r="R161" s="351"/>
      <c r="S161" s="351"/>
      <c r="T161" s="351"/>
      <c r="U161" s="6"/>
    </row>
    <row r="162" spans="1:31" ht="15" customHeight="1" thickBot="1">
      <c r="A162" s="4"/>
      <c r="B162" s="328" t="s">
        <v>62</v>
      </c>
      <c r="C162" s="329"/>
      <c r="D162" s="330"/>
      <c r="E162" s="331" t="s">
        <v>58</v>
      </c>
      <c r="F162" s="332"/>
      <c r="G162" s="333">
        <v>1</v>
      </c>
      <c r="H162" s="334"/>
      <c r="I162" s="335">
        <v>0</v>
      </c>
      <c r="J162" s="336"/>
      <c r="K162" s="334"/>
      <c r="L162" s="458">
        <v>0</v>
      </c>
      <c r="M162" s="336"/>
      <c r="N162" s="459"/>
      <c r="O162" s="353">
        <v>0</v>
      </c>
      <c r="P162" s="351"/>
      <c r="Q162" s="351"/>
      <c r="R162" s="351">
        <v>0</v>
      </c>
      <c r="S162" s="351"/>
      <c r="T162" s="351"/>
      <c r="U162" s="54">
        <f>R162/G162</f>
        <v>0</v>
      </c>
      <c r="V162" s="193">
        <f>+'Mensual VEME2019'!I402+'Mensual VEME2019'!I522+'Mensual VEME2019'!I643</f>
        <v>0</v>
      </c>
      <c r="W162" s="193">
        <f>+I162-V162</f>
        <v>0</v>
      </c>
      <c r="X162" s="193">
        <f>+'Mensual VEME2019'!L402+'Mensual VEME2019'!L522+'Mensual VEME2019'!L643</f>
        <v>0</v>
      </c>
      <c r="Y162" s="193">
        <f>+L162-X162</f>
        <v>0</v>
      </c>
      <c r="Z162" s="193">
        <f>+V162+O43</f>
        <v>0</v>
      </c>
      <c r="AA162" s="193">
        <f>+O162-Z162</f>
        <v>0</v>
      </c>
      <c r="AB162" s="193">
        <f>+X162+R43</f>
        <v>0</v>
      </c>
      <c r="AC162" s="193">
        <f>+R162-AB162</f>
        <v>0</v>
      </c>
      <c r="AD162" s="195">
        <f>+AB162/G162</f>
        <v>0</v>
      </c>
      <c r="AE162" s="194">
        <f>+U162-AD162</f>
        <v>0</v>
      </c>
    </row>
    <row r="163" spans="1:31" ht="15.75" thickBot="1">
      <c r="A163" s="4"/>
      <c r="B163" s="342" t="s">
        <v>21</v>
      </c>
      <c r="C163" s="343"/>
      <c r="D163" s="343"/>
      <c r="E163" s="343"/>
      <c r="F163" s="344"/>
      <c r="G163" s="345"/>
      <c r="H163" s="346"/>
      <c r="I163" s="346"/>
      <c r="J163" s="346"/>
      <c r="K163" s="346"/>
      <c r="L163" s="346"/>
      <c r="M163" s="346"/>
      <c r="N163" s="347"/>
      <c r="O163" s="345"/>
      <c r="P163" s="346"/>
      <c r="Q163" s="346"/>
      <c r="R163" s="346"/>
      <c r="S163" s="346"/>
      <c r="T163" s="346"/>
      <c r="U163" s="347"/>
    </row>
    <row r="164" spans="1:31" ht="15.75" thickBot="1">
      <c r="B164" s="7"/>
      <c r="C164" s="8"/>
      <c r="D164" s="9"/>
      <c r="E164" s="10"/>
      <c r="F164" s="11"/>
      <c r="G164" s="12"/>
      <c r="H164" s="13"/>
      <c r="I164" s="14"/>
      <c r="J164" s="14"/>
      <c r="K164" s="15"/>
      <c r="L164" s="14"/>
      <c r="M164" s="15"/>
      <c r="N164" s="14"/>
      <c r="O164" s="14"/>
      <c r="P164" s="14"/>
      <c r="Q164" s="14"/>
      <c r="R164" s="15"/>
      <c r="S164" s="14"/>
      <c r="T164" s="12"/>
      <c r="U164" s="14"/>
    </row>
    <row r="165" spans="1:31" ht="16.5" customHeight="1" thickBot="1">
      <c r="A165" s="4"/>
      <c r="B165" s="306" t="s">
        <v>22</v>
      </c>
      <c r="C165" s="307"/>
      <c r="D165" s="307"/>
      <c r="E165" s="307"/>
      <c r="F165" s="308"/>
      <c r="G165" s="312" t="s">
        <v>129</v>
      </c>
      <c r="H165" s="313"/>
      <c r="I165" s="313"/>
      <c r="J165" s="313"/>
      <c r="K165" s="313"/>
      <c r="L165" s="313"/>
      <c r="M165" s="313"/>
      <c r="N165" s="313"/>
      <c r="O165" s="313"/>
      <c r="P165" s="313"/>
      <c r="Q165" s="313"/>
      <c r="R165" s="313"/>
      <c r="S165" s="313"/>
      <c r="T165" s="313"/>
      <c r="U165" s="314"/>
    </row>
    <row r="166" spans="1:31" ht="15.75" customHeight="1" thickBot="1">
      <c r="A166" s="4"/>
      <c r="B166" s="309"/>
      <c r="C166" s="310"/>
      <c r="D166" s="310"/>
      <c r="E166" s="310"/>
      <c r="F166" s="311"/>
      <c r="G166" s="315" t="s">
        <v>24</v>
      </c>
      <c r="H166" s="316"/>
      <c r="I166" s="310" t="s">
        <v>120</v>
      </c>
      <c r="J166" s="310"/>
      <c r="K166" s="310"/>
      <c r="L166" s="310"/>
      <c r="M166" s="310"/>
      <c r="N166" s="311"/>
      <c r="O166" s="321" t="s">
        <v>121</v>
      </c>
      <c r="P166" s="322"/>
      <c r="Q166" s="322"/>
      <c r="R166" s="322"/>
      <c r="S166" s="322"/>
      <c r="T166" s="322"/>
      <c r="U166" s="323"/>
    </row>
    <row r="167" spans="1:31" ht="15.75" customHeight="1" thickBot="1">
      <c r="A167" s="4"/>
      <c r="B167" s="309"/>
      <c r="C167" s="310"/>
      <c r="D167" s="310"/>
      <c r="E167" s="310"/>
      <c r="F167" s="311"/>
      <c r="G167" s="317"/>
      <c r="H167" s="318"/>
      <c r="I167" s="267" t="s">
        <v>18</v>
      </c>
      <c r="J167" s="268"/>
      <c r="K167" s="269"/>
      <c r="L167" s="267" t="s">
        <v>25</v>
      </c>
      <c r="M167" s="268"/>
      <c r="N167" s="269"/>
      <c r="O167" s="267" t="s">
        <v>18</v>
      </c>
      <c r="P167" s="268"/>
      <c r="Q167" s="324"/>
      <c r="R167" s="325" t="s">
        <v>25</v>
      </c>
      <c r="S167" s="268"/>
      <c r="T167" s="269"/>
      <c r="U167" s="326" t="s">
        <v>20</v>
      </c>
      <c r="V167" s="200" t="s">
        <v>158</v>
      </c>
      <c r="W167" s="201"/>
      <c r="X167" s="200" t="s">
        <v>159</v>
      </c>
      <c r="Y167" s="201"/>
      <c r="Z167" s="200" t="s">
        <v>161</v>
      </c>
      <c r="AA167" s="201"/>
      <c r="AB167" s="200" t="s">
        <v>160</v>
      </c>
      <c r="AC167" s="201"/>
      <c r="AD167" s="200" t="s">
        <v>162</v>
      </c>
      <c r="AE167" s="201"/>
    </row>
    <row r="168" spans="1:31" ht="25.5" customHeight="1" thickBot="1">
      <c r="A168" s="4"/>
      <c r="B168" s="309"/>
      <c r="C168" s="310"/>
      <c r="D168" s="310"/>
      <c r="E168" s="310"/>
      <c r="F168" s="311"/>
      <c r="G168" s="319"/>
      <c r="H168" s="320"/>
      <c r="I168" s="99" t="s">
        <v>26</v>
      </c>
      <c r="J168" s="101" t="s">
        <v>27</v>
      </c>
      <c r="K168" s="101" t="s">
        <v>28</v>
      </c>
      <c r="L168" s="99" t="s">
        <v>26</v>
      </c>
      <c r="M168" s="101" t="s">
        <v>27</v>
      </c>
      <c r="N168" s="100" t="s">
        <v>28</v>
      </c>
      <c r="O168" s="19" t="s">
        <v>26</v>
      </c>
      <c r="P168" s="99" t="s">
        <v>27</v>
      </c>
      <c r="Q168" s="20" t="s">
        <v>28</v>
      </c>
      <c r="R168" s="21" t="s">
        <v>26</v>
      </c>
      <c r="S168" s="98" t="s">
        <v>27</v>
      </c>
      <c r="T168" s="101" t="s">
        <v>28</v>
      </c>
      <c r="U168" s="327"/>
      <c r="V168" s="202"/>
      <c r="W168" s="203"/>
      <c r="X168" s="202"/>
      <c r="Y168" s="203"/>
      <c r="Z168" s="202"/>
      <c r="AA168" s="203"/>
      <c r="AB168" s="202"/>
      <c r="AC168" s="203"/>
      <c r="AD168" s="202"/>
      <c r="AE168" s="203"/>
    </row>
    <row r="169" spans="1:31" ht="15.75" thickBot="1">
      <c r="A169" s="4"/>
      <c r="B169" s="302" t="s">
        <v>29</v>
      </c>
      <c r="C169" s="303"/>
      <c r="D169" s="303"/>
      <c r="E169" s="303"/>
      <c r="F169" s="303"/>
      <c r="G169" s="303"/>
      <c r="H169" s="303"/>
      <c r="I169" s="303"/>
      <c r="J169" s="303"/>
      <c r="K169" s="303"/>
      <c r="L169" s="303"/>
      <c r="M169" s="303"/>
      <c r="N169" s="303"/>
      <c r="O169" s="303"/>
      <c r="P169" s="303"/>
      <c r="Q169" s="303"/>
      <c r="R169" s="303"/>
      <c r="S169" s="303"/>
      <c r="T169" s="303"/>
      <c r="U169" s="304"/>
    </row>
    <row r="170" spans="1:31" s="40" customFormat="1" ht="15.75" customHeight="1">
      <c r="A170" s="166"/>
      <c r="B170" s="287" t="s">
        <v>82</v>
      </c>
      <c r="C170" s="288"/>
      <c r="D170" s="288"/>
      <c r="E170" s="288"/>
      <c r="F170" s="289"/>
      <c r="G170" s="290">
        <v>1908</v>
      </c>
      <c r="H170" s="305"/>
      <c r="I170" s="158">
        <v>1908</v>
      </c>
      <c r="J170" s="141">
        <v>0</v>
      </c>
      <c r="K170" s="141">
        <v>0</v>
      </c>
      <c r="L170" s="141">
        <v>0</v>
      </c>
      <c r="M170" s="141">
        <v>0</v>
      </c>
      <c r="N170" s="141">
        <v>0</v>
      </c>
      <c r="O170" s="141">
        <v>1908</v>
      </c>
      <c r="P170" s="141">
        <v>0</v>
      </c>
      <c r="Q170" s="154">
        <v>0</v>
      </c>
      <c r="R170" s="141">
        <v>0</v>
      </c>
      <c r="S170" s="141">
        <v>0</v>
      </c>
      <c r="T170" s="154">
        <v>0</v>
      </c>
      <c r="U170" s="155">
        <f>R170/G170</f>
        <v>0</v>
      </c>
      <c r="V170" s="196">
        <f>+'Mensual VEME2019'!I410+'Mensual VEME2019'!I530+'Mensual VEME2019'!I651</f>
        <v>1908</v>
      </c>
      <c r="W170" s="196">
        <f>+I170-V170</f>
        <v>0</v>
      </c>
      <c r="X170" s="196">
        <f>+'Mensual VEME2019'!L410+'Mensual VEME2019'!L530+'Mensual VEME2019'!L651</f>
        <v>0</v>
      </c>
      <c r="Y170" s="196">
        <f>+L170-X170</f>
        <v>0</v>
      </c>
      <c r="Z170" s="196">
        <f>+V170+O51</f>
        <v>1908</v>
      </c>
      <c r="AA170" s="196">
        <f>+O170-Z170</f>
        <v>0</v>
      </c>
      <c r="AB170" s="196">
        <f>+X170+R51</f>
        <v>0</v>
      </c>
      <c r="AC170" s="196">
        <f>+R170-AB170</f>
        <v>0</v>
      </c>
      <c r="AD170" s="197">
        <f>+AB170/G170</f>
        <v>0</v>
      </c>
      <c r="AE170" s="198">
        <f>+U170-AD170</f>
        <v>0</v>
      </c>
    </row>
    <row r="171" spans="1:31" s="40" customFormat="1">
      <c r="A171" s="152"/>
      <c r="B171" s="274" t="s">
        <v>83</v>
      </c>
      <c r="C171" s="275"/>
      <c r="D171" s="275"/>
      <c r="E171" s="275"/>
      <c r="F171" s="276"/>
      <c r="G171" s="277">
        <v>9000</v>
      </c>
      <c r="H171" s="292"/>
      <c r="I171" s="142">
        <v>3000</v>
      </c>
      <c r="J171" s="117">
        <v>0</v>
      </c>
      <c r="K171" s="117">
        <v>0</v>
      </c>
      <c r="L171" s="117">
        <v>0</v>
      </c>
      <c r="M171" s="117">
        <v>0</v>
      </c>
      <c r="N171" s="117">
        <v>0</v>
      </c>
      <c r="O171" s="117">
        <v>3000</v>
      </c>
      <c r="P171" s="117">
        <v>0</v>
      </c>
      <c r="Q171" s="117">
        <v>0</v>
      </c>
      <c r="R171" s="117">
        <v>0</v>
      </c>
      <c r="S171" s="117">
        <v>0</v>
      </c>
      <c r="T171" s="117">
        <v>0</v>
      </c>
      <c r="U171" s="153">
        <f>R171/G171</f>
        <v>0</v>
      </c>
      <c r="V171" s="196">
        <f>+'Mensual VEME2019'!I411+'Mensual VEME2019'!I531+'Mensual VEME2019'!I652</f>
        <v>3000</v>
      </c>
      <c r="W171" s="196">
        <f t="shared" ref="W171:W190" si="37">+I171-V171</f>
        <v>0</v>
      </c>
      <c r="X171" s="196">
        <f>+'Mensual VEME2019'!L411+'Mensual VEME2019'!L531+'Mensual VEME2019'!L652</f>
        <v>0</v>
      </c>
      <c r="Y171" s="196">
        <f t="shared" ref="Y171:Y190" si="38">+L171-X171</f>
        <v>0</v>
      </c>
      <c r="Z171" s="196">
        <f t="shared" ref="Z171:Z190" si="39">+V171+O52</f>
        <v>3000</v>
      </c>
      <c r="AA171" s="196">
        <f t="shared" ref="AA171:AA190" si="40">+O171-Z171</f>
        <v>0</v>
      </c>
      <c r="AB171" s="196">
        <f t="shared" ref="AB171:AB190" si="41">+X171+R52</f>
        <v>0</v>
      </c>
      <c r="AC171" s="196">
        <f t="shared" ref="AC171:AC190" si="42">+R171-AB171</f>
        <v>0</v>
      </c>
      <c r="AD171" s="197">
        <f t="shared" ref="AD171:AD190" si="43">+AB171/G171</f>
        <v>0</v>
      </c>
      <c r="AE171" s="198">
        <f t="shared" ref="AE171:AE190" si="44">+U171-AD171</f>
        <v>0</v>
      </c>
    </row>
    <row r="172" spans="1:31" s="40" customFormat="1">
      <c r="A172" s="152"/>
      <c r="B172" s="274" t="s">
        <v>84</v>
      </c>
      <c r="C172" s="275"/>
      <c r="D172" s="275"/>
      <c r="E172" s="275"/>
      <c r="F172" s="276"/>
      <c r="G172" s="277">
        <v>15000</v>
      </c>
      <c r="H172" s="292"/>
      <c r="I172" s="142">
        <v>15000</v>
      </c>
      <c r="J172" s="117">
        <v>0</v>
      </c>
      <c r="K172" s="117">
        <v>0</v>
      </c>
      <c r="L172" s="117">
        <v>0</v>
      </c>
      <c r="M172" s="117">
        <v>0</v>
      </c>
      <c r="N172" s="117">
        <v>0</v>
      </c>
      <c r="O172" s="117">
        <v>15000</v>
      </c>
      <c r="P172" s="117">
        <v>0</v>
      </c>
      <c r="Q172" s="117">
        <v>0</v>
      </c>
      <c r="R172" s="117">
        <v>0</v>
      </c>
      <c r="S172" s="117">
        <v>0</v>
      </c>
      <c r="T172" s="117">
        <v>0</v>
      </c>
      <c r="U172" s="153">
        <f>R172/G172</f>
        <v>0</v>
      </c>
      <c r="V172" s="196">
        <f>+'Mensual VEME2019'!I412+'Mensual VEME2019'!I532+'Mensual VEME2019'!I653</f>
        <v>15000</v>
      </c>
      <c r="W172" s="196">
        <f t="shared" si="37"/>
        <v>0</v>
      </c>
      <c r="X172" s="196">
        <f>+'Mensual VEME2019'!L412+'Mensual VEME2019'!L532+'Mensual VEME2019'!L653</f>
        <v>0</v>
      </c>
      <c r="Y172" s="196">
        <f t="shared" si="38"/>
        <v>0</v>
      </c>
      <c r="Z172" s="196">
        <f t="shared" si="39"/>
        <v>15000</v>
      </c>
      <c r="AA172" s="196">
        <f t="shared" si="40"/>
        <v>0</v>
      </c>
      <c r="AB172" s="196">
        <f t="shared" si="41"/>
        <v>0</v>
      </c>
      <c r="AC172" s="196">
        <f t="shared" si="42"/>
        <v>0</v>
      </c>
      <c r="AD172" s="197">
        <f t="shared" si="43"/>
        <v>0</v>
      </c>
      <c r="AE172" s="198">
        <f t="shared" si="44"/>
        <v>0</v>
      </c>
    </row>
    <row r="173" spans="1:31" s="40" customFormat="1">
      <c r="A173" s="152"/>
      <c r="B173" s="274" t="s">
        <v>85</v>
      </c>
      <c r="C173" s="275"/>
      <c r="D173" s="275"/>
      <c r="E173" s="275"/>
      <c r="F173" s="276"/>
      <c r="G173" s="277">
        <v>2000</v>
      </c>
      <c r="H173" s="292"/>
      <c r="I173" s="142">
        <v>2000</v>
      </c>
      <c r="J173" s="117">
        <v>0</v>
      </c>
      <c r="K173" s="117">
        <v>0</v>
      </c>
      <c r="L173" s="117">
        <v>0</v>
      </c>
      <c r="M173" s="117">
        <v>0</v>
      </c>
      <c r="N173" s="117">
        <v>0</v>
      </c>
      <c r="O173" s="117">
        <v>2000</v>
      </c>
      <c r="P173" s="117">
        <v>0</v>
      </c>
      <c r="Q173" s="117">
        <v>0</v>
      </c>
      <c r="R173" s="117">
        <v>0</v>
      </c>
      <c r="S173" s="117">
        <v>0</v>
      </c>
      <c r="T173" s="117">
        <v>0</v>
      </c>
      <c r="U173" s="153">
        <f>R173/G173</f>
        <v>0</v>
      </c>
      <c r="V173" s="196">
        <f>+'Mensual VEME2019'!I413+'Mensual VEME2019'!I533+'Mensual VEME2019'!I654</f>
        <v>2000</v>
      </c>
      <c r="W173" s="196">
        <f t="shared" si="37"/>
        <v>0</v>
      </c>
      <c r="X173" s="196">
        <f>+'Mensual VEME2019'!L413+'Mensual VEME2019'!L533+'Mensual VEME2019'!L654</f>
        <v>0</v>
      </c>
      <c r="Y173" s="196">
        <f t="shared" si="38"/>
        <v>0</v>
      </c>
      <c r="Z173" s="196">
        <f t="shared" si="39"/>
        <v>2000</v>
      </c>
      <c r="AA173" s="196">
        <f t="shared" si="40"/>
        <v>0</v>
      </c>
      <c r="AB173" s="196">
        <f t="shared" si="41"/>
        <v>0</v>
      </c>
      <c r="AC173" s="196">
        <f t="shared" si="42"/>
        <v>0</v>
      </c>
      <c r="AD173" s="197">
        <f t="shared" si="43"/>
        <v>0</v>
      </c>
      <c r="AE173" s="198">
        <f t="shared" si="44"/>
        <v>0</v>
      </c>
    </row>
    <row r="174" spans="1:31" s="40" customFormat="1">
      <c r="A174" s="152"/>
      <c r="B174" s="274" t="s">
        <v>119</v>
      </c>
      <c r="C174" s="275"/>
      <c r="D174" s="275"/>
      <c r="E174" s="275"/>
      <c r="F174" s="276"/>
      <c r="G174" s="277">
        <v>198000</v>
      </c>
      <c r="H174" s="292"/>
      <c r="I174" s="142">
        <v>49500</v>
      </c>
      <c r="J174" s="117">
        <v>0</v>
      </c>
      <c r="K174" s="117">
        <v>0</v>
      </c>
      <c r="L174" s="117">
        <v>12500</v>
      </c>
      <c r="M174" s="117">
        <v>0</v>
      </c>
      <c r="N174" s="117">
        <v>0</v>
      </c>
      <c r="O174" s="117">
        <f>16500+16500+16500+16500+16500+16500</f>
        <v>99000</v>
      </c>
      <c r="P174" s="117">
        <v>0</v>
      </c>
      <c r="Q174" s="117">
        <v>0</v>
      </c>
      <c r="R174" s="117">
        <f>0+0+0+5000+2500+5000</f>
        <v>12500</v>
      </c>
      <c r="S174" s="117">
        <v>0</v>
      </c>
      <c r="T174" s="117">
        <v>0</v>
      </c>
      <c r="U174" s="153">
        <f>R174/G174</f>
        <v>6.3131313131313135E-2</v>
      </c>
      <c r="V174" s="196">
        <f>+'Mensual VEME2019'!I414+'Mensual VEME2019'!I534+'Mensual VEME2019'!I655</f>
        <v>49500</v>
      </c>
      <c r="W174" s="196">
        <f t="shared" si="37"/>
        <v>0</v>
      </c>
      <c r="X174" s="196">
        <f>+'Mensual VEME2019'!L414+'Mensual VEME2019'!L534+'Mensual VEME2019'!L655</f>
        <v>12500</v>
      </c>
      <c r="Y174" s="196">
        <f t="shared" si="38"/>
        <v>0</v>
      </c>
      <c r="Z174" s="196">
        <f t="shared" si="39"/>
        <v>99000</v>
      </c>
      <c r="AA174" s="196">
        <f t="shared" si="40"/>
        <v>0</v>
      </c>
      <c r="AB174" s="196">
        <f t="shared" si="41"/>
        <v>12500</v>
      </c>
      <c r="AC174" s="196">
        <f t="shared" si="42"/>
        <v>0</v>
      </c>
      <c r="AD174" s="197">
        <f t="shared" si="43"/>
        <v>6.3131313131313135E-2</v>
      </c>
      <c r="AE174" s="198">
        <f t="shared" si="44"/>
        <v>0</v>
      </c>
    </row>
    <row r="175" spans="1:31" s="40" customFormat="1">
      <c r="A175" s="152"/>
      <c r="B175" s="274" t="s">
        <v>130</v>
      </c>
      <c r="C175" s="275"/>
      <c r="D175" s="275"/>
      <c r="E175" s="275"/>
      <c r="F175" s="276"/>
      <c r="G175" s="277">
        <v>13000</v>
      </c>
      <c r="H175" s="292"/>
      <c r="I175" s="142">
        <v>0</v>
      </c>
      <c r="J175" s="117">
        <v>0</v>
      </c>
      <c r="K175" s="117">
        <v>0</v>
      </c>
      <c r="L175" s="117">
        <v>0</v>
      </c>
      <c r="M175" s="117">
        <v>0</v>
      </c>
      <c r="N175" s="117">
        <v>0</v>
      </c>
      <c r="O175" s="117">
        <v>0</v>
      </c>
      <c r="P175" s="117">
        <v>0</v>
      </c>
      <c r="Q175" s="117">
        <v>0</v>
      </c>
      <c r="R175" s="117">
        <v>0</v>
      </c>
      <c r="S175" s="117">
        <v>0</v>
      </c>
      <c r="T175" s="117">
        <v>0</v>
      </c>
      <c r="U175" s="153">
        <f t="shared" ref="U175:U184" si="45">R175/G175</f>
        <v>0</v>
      </c>
      <c r="V175" s="196">
        <f>+'Mensual VEME2019'!I415+'Mensual VEME2019'!I535+'Mensual VEME2019'!I656</f>
        <v>0</v>
      </c>
      <c r="W175" s="196">
        <f t="shared" si="37"/>
        <v>0</v>
      </c>
      <c r="X175" s="196">
        <f>+'Mensual VEME2019'!L415+'Mensual VEME2019'!L535+'Mensual VEME2019'!L656</f>
        <v>0</v>
      </c>
      <c r="Y175" s="196">
        <f t="shared" si="38"/>
        <v>0</v>
      </c>
      <c r="Z175" s="196">
        <f t="shared" si="39"/>
        <v>0</v>
      </c>
      <c r="AA175" s="196">
        <f t="shared" si="40"/>
        <v>0</v>
      </c>
      <c r="AB175" s="196">
        <f t="shared" si="41"/>
        <v>0</v>
      </c>
      <c r="AC175" s="196">
        <f t="shared" si="42"/>
        <v>0</v>
      </c>
      <c r="AD175" s="197">
        <f t="shared" si="43"/>
        <v>0</v>
      </c>
      <c r="AE175" s="198">
        <f t="shared" si="44"/>
        <v>0</v>
      </c>
    </row>
    <row r="176" spans="1:31" s="40" customFormat="1">
      <c r="A176" s="152"/>
      <c r="B176" s="274" t="s">
        <v>86</v>
      </c>
      <c r="C176" s="275"/>
      <c r="D176" s="275"/>
      <c r="E176" s="275"/>
      <c r="F176" s="276"/>
      <c r="G176" s="277">
        <v>30000</v>
      </c>
      <c r="H176" s="292"/>
      <c r="I176" s="142">
        <v>30000</v>
      </c>
      <c r="J176" s="117">
        <v>0</v>
      </c>
      <c r="K176" s="117">
        <v>0</v>
      </c>
      <c r="L176" s="117">
        <v>0</v>
      </c>
      <c r="M176" s="117">
        <v>0</v>
      </c>
      <c r="N176" s="117">
        <v>0</v>
      </c>
      <c r="O176" s="117">
        <v>30000</v>
      </c>
      <c r="P176" s="117">
        <v>0</v>
      </c>
      <c r="Q176" s="117">
        <v>0</v>
      </c>
      <c r="R176" s="117">
        <f>0+0+0+0</f>
        <v>0</v>
      </c>
      <c r="S176" s="117">
        <v>0</v>
      </c>
      <c r="T176" s="117">
        <v>0</v>
      </c>
      <c r="U176" s="153">
        <f t="shared" si="45"/>
        <v>0</v>
      </c>
      <c r="V176" s="196">
        <f>+'Mensual VEME2019'!I416+'Mensual VEME2019'!I536+'Mensual VEME2019'!I657</f>
        <v>30000</v>
      </c>
      <c r="W176" s="196">
        <f t="shared" si="37"/>
        <v>0</v>
      </c>
      <c r="X176" s="196">
        <f>+'Mensual VEME2019'!L416+'Mensual VEME2019'!L536+'Mensual VEME2019'!L657</f>
        <v>0</v>
      </c>
      <c r="Y176" s="196">
        <f t="shared" si="38"/>
        <v>0</v>
      </c>
      <c r="Z176" s="196">
        <f t="shared" si="39"/>
        <v>30000</v>
      </c>
      <c r="AA176" s="196">
        <f t="shared" si="40"/>
        <v>0</v>
      </c>
      <c r="AB176" s="196">
        <f t="shared" si="41"/>
        <v>0</v>
      </c>
      <c r="AC176" s="196">
        <f t="shared" si="42"/>
        <v>0</v>
      </c>
      <c r="AD176" s="197">
        <f t="shared" si="43"/>
        <v>0</v>
      </c>
      <c r="AE176" s="198">
        <f t="shared" si="44"/>
        <v>0</v>
      </c>
    </row>
    <row r="177" spans="1:31" s="40" customFormat="1">
      <c r="A177" s="152"/>
      <c r="B177" s="274" t="s">
        <v>88</v>
      </c>
      <c r="C177" s="275"/>
      <c r="D177" s="275"/>
      <c r="E177" s="275"/>
      <c r="F177" s="276"/>
      <c r="G177" s="277">
        <v>5800</v>
      </c>
      <c r="H177" s="292"/>
      <c r="I177" s="142">
        <v>2900</v>
      </c>
      <c r="J177" s="117">
        <v>0</v>
      </c>
      <c r="K177" s="117">
        <v>0</v>
      </c>
      <c r="L177" s="117">
        <v>0</v>
      </c>
      <c r="M177" s="117">
        <v>0</v>
      </c>
      <c r="N177" s="117">
        <v>0</v>
      </c>
      <c r="O177" s="117">
        <f>2900</f>
        <v>2900</v>
      </c>
      <c r="P177" s="117">
        <v>0</v>
      </c>
      <c r="Q177" s="117">
        <v>0</v>
      </c>
      <c r="R177" s="117">
        <v>0</v>
      </c>
      <c r="S177" s="117">
        <v>0</v>
      </c>
      <c r="T177" s="117">
        <v>0</v>
      </c>
      <c r="U177" s="153">
        <f t="shared" si="45"/>
        <v>0</v>
      </c>
      <c r="V177" s="196">
        <f>+'Mensual VEME2019'!I417+'Mensual VEME2019'!I537+'Mensual VEME2019'!I658</f>
        <v>2900</v>
      </c>
      <c r="W177" s="196">
        <f t="shared" si="37"/>
        <v>0</v>
      </c>
      <c r="X177" s="196">
        <f>+'Mensual VEME2019'!L417+'Mensual VEME2019'!L537+'Mensual VEME2019'!L658</f>
        <v>0</v>
      </c>
      <c r="Y177" s="196">
        <f t="shared" si="38"/>
        <v>0</v>
      </c>
      <c r="Z177" s="196">
        <f t="shared" si="39"/>
        <v>2900</v>
      </c>
      <c r="AA177" s="196">
        <f t="shared" si="40"/>
        <v>0</v>
      </c>
      <c r="AB177" s="196">
        <f t="shared" si="41"/>
        <v>0</v>
      </c>
      <c r="AC177" s="196">
        <f t="shared" si="42"/>
        <v>0</v>
      </c>
      <c r="AD177" s="197">
        <f t="shared" si="43"/>
        <v>0</v>
      </c>
      <c r="AE177" s="198">
        <f t="shared" si="44"/>
        <v>0</v>
      </c>
    </row>
    <row r="178" spans="1:31" s="40" customFormat="1">
      <c r="A178" s="152"/>
      <c r="B178" s="274" t="s">
        <v>131</v>
      </c>
      <c r="C178" s="275"/>
      <c r="D178" s="275"/>
      <c r="E178" s="275"/>
      <c r="F178" s="276"/>
      <c r="G178" s="277">
        <v>40000</v>
      </c>
      <c r="H178" s="292"/>
      <c r="I178" s="142">
        <v>8000</v>
      </c>
      <c r="J178" s="117">
        <v>0</v>
      </c>
      <c r="K178" s="117">
        <v>0</v>
      </c>
      <c r="L178" s="117">
        <v>0</v>
      </c>
      <c r="M178" s="117">
        <v>0</v>
      </c>
      <c r="N178" s="117">
        <v>0</v>
      </c>
      <c r="O178" s="117">
        <f>8000</f>
        <v>8000</v>
      </c>
      <c r="P178" s="117">
        <v>0</v>
      </c>
      <c r="Q178" s="117">
        <v>0</v>
      </c>
      <c r="R178" s="117">
        <f>0+0+0+0</f>
        <v>0</v>
      </c>
      <c r="S178" s="117">
        <v>0</v>
      </c>
      <c r="T178" s="117">
        <v>0</v>
      </c>
      <c r="U178" s="153">
        <f t="shared" si="45"/>
        <v>0</v>
      </c>
      <c r="V178" s="196">
        <f>+'Mensual VEME2019'!I418+'Mensual VEME2019'!I538+'Mensual VEME2019'!I659</f>
        <v>8000</v>
      </c>
      <c r="W178" s="196">
        <f t="shared" si="37"/>
        <v>0</v>
      </c>
      <c r="X178" s="196">
        <f>+'Mensual VEME2019'!L418+'Mensual VEME2019'!L538+'Mensual VEME2019'!L659</f>
        <v>0</v>
      </c>
      <c r="Y178" s="196">
        <f t="shared" si="38"/>
        <v>0</v>
      </c>
      <c r="Z178" s="196">
        <f t="shared" si="39"/>
        <v>8000</v>
      </c>
      <c r="AA178" s="196">
        <f t="shared" si="40"/>
        <v>0</v>
      </c>
      <c r="AB178" s="196">
        <f t="shared" si="41"/>
        <v>0</v>
      </c>
      <c r="AC178" s="196">
        <f t="shared" si="42"/>
        <v>0</v>
      </c>
      <c r="AD178" s="197">
        <f t="shared" si="43"/>
        <v>0</v>
      </c>
      <c r="AE178" s="198">
        <f t="shared" si="44"/>
        <v>0</v>
      </c>
    </row>
    <row r="179" spans="1:31" s="40" customFormat="1">
      <c r="A179" s="152"/>
      <c r="B179" s="274" t="s">
        <v>87</v>
      </c>
      <c r="C179" s="275"/>
      <c r="D179" s="275"/>
      <c r="E179" s="275"/>
      <c r="F179" s="276"/>
      <c r="G179" s="277">
        <v>9000</v>
      </c>
      <c r="H179" s="292"/>
      <c r="I179" s="142">
        <v>3000</v>
      </c>
      <c r="J179" s="117">
        <v>0</v>
      </c>
      <c r="K179" s="117">
        <v>0</v>
      </c>
      <c r="L179" s="117">
        <v>0</v>
      </c>
      <c r="M179" s="117">
        <v>0</v>
      </c>
      <c r="N179" s="117">
        <v>0</v>
      </c>
      <c r="O179" s="117">
        <v>3000</v>
      </c>
      <c r="P179" s="117">
        <v>0</v>
      </c>
      <c r="Q179" s="117">
        <v>0</v>
      </c>
      <c r="R179" s="117">
        <v>0</v>
      </c>
      <c r="S179" s="117">
        <v>0</v>
      </c>
      <c r="T179" s="117">
        <v>0</v>
      </c>
      <c r="U179" s="153">
        <f t="shared" si="45"/>
        <v>0</v>
      </c>
      <c r="V179" s="196">
        <f>+'Mensual VEME2019'!I419+'Mensual VEME2019'!I539+'Mensual VEME2019'!I660</f>
        <v>3000</v>
      </c>
      <c r="W179" s="196">
        <f t="shared" si="37"/>
        <v>0</v>
      </c>
      <c r="X179" s="196">
        <f>+'Mensual VEME2019'!L419+'Mensual VEME2019'!L539+'Mensual VEME2019'!L660</f>
        <v>0</v>
      </c>
      <c r="Y179" s="196">
        <f t="shared" si="38"/>
        <v>0</v>
      </c>
      <c r="Z179" s="196">
        <f t="shared" si="39"/>
        <v>3000</v>
      </c>
      <c r="AA179" s="196">
        <f t="shared" si="40"/>
        <v>0</v>
      </c>
      <c r="AB179" s="196">
        <f t="shared" si="41"/>
        <v>0</v>
      </c>
      <c r="AC179" s="196">
        <f t="shared" si="42"/>
        <v>0</v>
      </c>
      <c r="AD179" s="197">
        <f t="shared" si="43"/>
        <v>0</v>
      </c>
      <c r="AE179" s="198">
        <f t="shared" si="44"/>
        <v>0</v>
      </c>
    </row>
    <row r="180" spans="1:31" s="40" customFormat="1">
      <c r="A180" s="152"/>
      <c r="B180" s="274" t="s">
        <v>89</v>
      </c>
      <c r="C180" s="275"/>
      <c r="D180" s="275"/>
      <c r="E180" s="275"/>
      <c r="F180" s="276"/>
      <c r="G180" s="277">
        <v>8000</v>
      </c>
      <c r="H180" s="292"/>
      <c r="I180" s="142">
        <v>8000</v>
      </c>
      <c r="J180" s="117">
        <v>0</v>
      </c>
      <c r="K180" s="117">
        <v>0</v>
      </c>
      <c r="L180" s="117">
        <v>0</v>
      </c>
      <c r="M180" s="117">
        <v>0</v>
      </c>
      <c r="N180" s="117">
        <v>0</v>
      </c>
      <c r="O180" s="117">
        <f>8000</f>
        <v>8000</v>
      </c>
      <c r="P180" s="117">
        <v>0</v>
      </c>
      <c r="Q180" s="117">
        <v>0</v>
      </c>
      <c r="R180" s="117">
        <f>0+0+0+0</f>
        <v>0</v>
      </c>
      <c r="S180" s="117">
        <v>0</v>
      </c>
      <c r="T180" s="117">
        <v>0</v>
      </c>
      <c r="U180" s="153">
        <f t="shared" si="45"/>
        <v>0</v>
      </c>
      <c r="V180" s="196">
        <f>+'Mensual VEME2019'!I420+'Mensual VEME2019'!I540+'Mensual VEME2019'!I661</f>
        <v>8000</v>
      </c>
      <c r="W180" s="196">
        <f t="shared" si="37"/>
        <v>0</v>
      </c>
      <c r="X180" s="196">
        <f>+'Mensual VEME2019'!L420+'Mensual VEME2019'!L540+'Mensual VEME2019'!L661</f>
        <v>0</v>
      </c>
      <c r="Y180" s="196">
        <f t="shared" si="38"/>
        <v>0</v>
      </c>
      <c r="Z180" s="196">
        <f t="shared" si="39"/>
        <v>8000</v>
      </c>
      <c r="AA180" s="196">
        <f t="shared" si="40"/>
        <v>0</v>
      </c>
      <c r="AB180" s="196">
        <f t="shared" si="41"/>
        <v>0</v>
      </c>
      <c r="AC180" s="196">
        <f t="shared" si="42"/>
        <v>0</v>
      </c>
      <c r="AD180" s="197">
        <f t="shared" si="43"/>
        <v>0</v>
      </c>
      <c r="AE180" s="198">
        <f t="shared" si="44"/>
        <v>0</v>
      </c>
    </row>
    <row r="181" spans="1:31" s="40" customFormat="1">
      <c r="A181" s="152"/>
      <c r="B181" s="274" t="s">
        <v>90</v>
      </c>
      <c r="C181" s="275"/>
      <c r="D181" s="275"/>
      <c r="E181" s="275"/>
      <c r="F181" s="276"/>
      <c r="G181" s="277">
        <v>9000</v>
      </c>
      <c r="H181" s="292"/>
      <c r="I181" s="142">
        <v>3000</v>
      </c>
      <c r="J181" s="117">
        <v>0</v>
      </c>
      <c r="K181" s="117">
        <v>0</v>
      </c>
      <c r="L181" s="117">
        <v>0</v>
      </c>
      <c r="M181" s="117">
        <v>0</v>
      </c>
      <c r="N181" s="117">
        <v>0</v>
      </c>
      <c r="O181" s="117">
        <f>3000</f>
        <v>3000</v>
      </c>
      <c r="P181" s="117">
        <v>0</v>
      </c>
      <c r="Q181" s="117">
        <v>0</v>
      </c>
      <c r="R181" s="117">
        <f>0+0+0+0</f>
        <v>0</v>
      </c>
      <c r="S181" s="117">
        <v>0</v>
      </c>
      <c r="T181" s="117">
        <v>0</v>
      </c>
      <c r="U181" s="153">
        <f t="shared" si="45"/>
        <v>0</v>
      </c>
      <c r="V181" s="196">
        <f>+'Mensual VEME2019'!I421+'Mensual VEME2019'!I541+'Mensual VEME2019'!I662</f>
        <v>3000</v>
      </c>
      <c r="W181" s="196">
        <f t="shared" si="37"/>
        <v>0</v>
      </c>
      <c r="X181" s="196">
        <f>+'Mensual VEME2019'!L421+'Mensual VEME2019'!L541+'Mensual VEME2019'!L662</f>
        <v>0</v>
      </c>
      <c r="Y181" s="196">
        <f t="shared" si="38"/>
        <v>0</v>
      </c>
      <c r="Z181" s="196">
        <f t="shared" si="39"/>
        <v>3000</v>
      </c>
      <c r="AA181" s="196">
        <f t="shared" si="40"/>
        <v>0</v>
      </c>
      <c r="AB181" s="196">
        <f t="shared" si="41"/>
        <v>0</v>
      </c>
      <c r="AC181" s="196">
        <f t="shared" si="42"/>
        <v>0</v>
      </c>
      <c r="AD181" s="197">
        <f t="shared" si="43"/>
        <v>0</v>
      </c>
      <c r="AE181" s="198">
        <f t="shared" si="44"/>
        <v>0</v>
      </c>
    </row>
    <row r="182" spans="1:31" s="40" customFormat="1">
      <c r="A182" s="152"/>
      <c r="B182" s="274" t="s">
        <v>64</v>
      </c>
      <c r="C182" s="275"/>
      <c r="D182" s="275"/>
      <c r="E182" s="275"/>
      <c r="F182" s="276"/>
      <c r="G182" s="277">
        <v>3750</v>
      </c>
      <c r="H182" s="292"/>
      <c r="I182" s="142">
        <v>1250</v>
      </c>
      <c r="J182" s="117">
        <v>0</v>
      </c>
      <c r="K182" s="117">
        <v>0</v>
      </c>
      <c r="L182" s="117">
        <v>0</v>
      </c>
      <c r="M182" s="117">
        <v>0</v>
      </c>
      <c r="N182" s="117">
        <v>0</v>
      </c>
      <c r="O182" s="117">
        <f>1250</f>
        <v>1250</v>
      </c>
      <c r="P182" s="117">
        <v>0</v>
      </c>
      <c r="Q182" s="117">
        <v>0</v>
      </c>
      <c r="R182" s="117">
        <v>0</v>
      </c>
      <c r="S182" s="117">
        <v>0</v>
      </c>
      <c r="T182" s="117">
        <v>0</v>
      </c>
      <c r="U182" s="153">
        <f t="shared" si="45"/>
        <v>0</v>
      </c>
      <c r="V182" s="196">
        <f>+'Mensual VEME2019'!I422+'Mensual VEME2019'!I542+'Mensual VEME2019'!I663</f>
        <v>1250</v>
      </c>
      <c r="W182" s="196">
        <f t="shared" si="37"/>
        <v>0</v>
      </c>
      <c r="X182" s="196">
        <f>+'Mensual VEME2019'!L422+'Mensual VEME2019'!L542+'Mensual VEME2019'!L663</f>
        <v>0</v>
      </c>
      <c r="Y182" s="196">
        <f t="shared" si="38"/>
        <v>0</v>
      </c>
      <c r="Z182" s="196">
        <f t="shared" si="39"/>
        <v>1250</v>
      </c>
      <c r="AA182" s="196">
        <f t="shared" si="40"/>
        <v>0</v>
      </c>
      <c r="AB182" s="196">
        <f t="shared" si="41"/>
        <v>0</v>
      </c>
      <c r="AC182" s="196">
        <f t="shared" si="42"/>
        <v>0</v>
      </c>
      <c r="AD182" s="197">
        <f t="shared" si="43"/>
        <v>0</v>
      </c>
      <c r="AE182" s="198">
        <f t="shared" si="44"/>
        <v>0</v>
      </c>
    </row>
    <row r="183" spans="1:31" s="40" customFormat="1">
      <c r="A183" s="152"/>
      <c r="B183" s="274" t="s">
        <v>91</v>
      </c>
      <c r="C183" s="275"/>
      <c r="D183" s="275"/>
      <c r="E183" s="275"/>
      <c r="F183" s="276"/>
      <c r="G183" s="277">
        <v>6000</v>
      </c>
      <c r="H183" s="292"/>
      <c r="I183" s="142">
        <v>6000</v>
      </c>
      <c r="J183" s="117">
        <v>0</v>
      </c>
      <c r="K183" s="117">
        <v>0</v>
      </c>
      <c r="L183" s="117">
        <v>0</v>
      </c>
      <c r="M183" s="117">
        <v>0</v>
      </c>
      <c r="N183" s="117">
        <v>0</v>
      </c>
      <c r="O183" s="117">
        <f>6000</f>
        <v>6000</v>
      </c>
      <c r="P183" s="117">
        <v>0</v>
      </c>
      <c r="Q183" s="117">
        <v>0</v>
      </c>
      <c r="R183" s="117">
        <f>0+0+0+0</f>
        <v>0</v>
      </c>
      <c r="S183" s="117">
        <v>0</v>
      </c>
      <c r="T183" s="117">
        <v>0</v>
      </c>
      <c r="U183" s="153">
        <f t="shared" si="45"/>
        <v>0</v>
      </c>
      <c r="V183" s="196">
        <f>+'Mensual VEME2019'!I423+'Mensual VEME2019'!I543+'Mensual VEME2019'!I664</f>
        <v>6000</v>
      </c>
      <c r="W183" s="196">
        <f t="shared" si="37"/>
        <v>0</v>
      </c>
      <c r="X183" s="196">
        <f>+'Mensual VEME2019'!L423+'Mensual VEME2019'!L543+'Mensual VEME2019'!L664</f>
        <v>0</v>
      </c>
      <c r="Y183" s="196">
        <f t="shared" si="38"/>
        <v>0</v>
      </c>
      <c r="Z183" s="196">
        <f t="shared" si="39"/>
        <v>6000</v>
      </c>
      <c r="AA183" s="196">
        <f t="shared" si="40"/>
        <v>0</v>
      </c>
      <c r="AB183" s="196">
        <f t="shared" si="41"/>
        <v>0</v>
      </c>
      <c r="AC183" s="196">
        <f t="shared" si="42"/>
        <v>0</v>
      </c>
      <c r="AD183" s="197">
        <f t="shared" si="43"/>
        <v>0</v>
      </c>
      <c r="AE183" s="198">
        <f t="shared" si="44"/>
        <v>0</v>
      </c>
    </row>
    <row r="184" spans="1:31" s="40" customFormat="1">
      <c r="A184" s="152"/>
      <c r="B184" s="274" t="s">
        <v>81</v>
      </c>
      <c r="C184" s="275"/>
      <c r="D184" s="275"/>
      <c r="E184" s="275"/>
      <c r="F184" s="276"/>
      <c r="G184" s="277">
        <v>195000</v>
      </c>
      <c r="H184" s="292"/>
      <c r="I184" s="142">
        <v>39000</v>
      </c>
      <c r="J184" s="117">
        <v>0</v>
      </c>
      <c r="K184" s="117">
        <v>0</v>
      </c>
      <c r="L184" s="117">
        <v>40523.040000000001</v>
      </c>
      <c r="M184" s="117">
        <v>0</v>
      </c>
      <c r="N184" s="117">
        <v>0</v>
      </c>
      <c r="O184" s="117">
        <f>26000+26000+26000+13000+13000+13000</f>
        <v>117000</v>
      </c>
      <c r="P184" s="117">
        <v>0</v>
      </c>
      <c r="Q184" s="117">
        <v>0</v>
      </c>
      <c r="R184" s="117">
        <f>23416.71+27887.03+23419.61+15279.25+11463.61+13780.18</f>
        <v>115246.39000000001</v>
      </c>
      <c r="S184" s="117">
        <v>0</v>
      </c>
      <c r="T184" s="117">
        <v>0</v>
      </c>
      <c r="U184" s="153">
        <f t="shared" si="45"/>
        <v>0.59100712820512824</v>
      </c>
      <c r="V184" s="196">
        <f>+'Mensual VEME2019'!I424+'Mensual VEME2019'!I544+'Mensual VEME2019'!I665</f>
        <v>39000</v>
      </c>
      <c r="W184" s="196">
        <f t="shared" si="37"/>
        <v>0</v>
      </c>
      <c r="X184" s="196">
        <f>+'Mensual VEME2019'!L424+'Mensual VEME2019'!L544+'Mensual VEME2019'!L665</f>
        <v>40523.040000000001</v>
      </c>
      <c r="Y184" s="196">
        <f t="shared" si="38"/>
        <v>0</v>
      </c>
      <c r="Z184" s="196">
        <f t="shared" si="39"/>
        <v>117000</v>
      </c>
      <c r="AA184" s="196">
        <f t="shared" si="40"/>
        <v>0</v>
      </c>
      <c r="AB184" s="196">
        <f t="shared" si="41"/>
        <v>115246.39000000001</v>
      </c>
      <c r="AC184" s="196">
        <f t="shared" si="42"/>
        <v>0</v>
      </c>
      <c r="AD184" s="197">
        <f t="shared" si="43"/>
        <v>0.59100712820512824</v>
      </c>
      <c r="AE184" s="198">
        <f t="shared" si="44"/>
        <v>0</v>
      </c>
    </row>
    <row r="185" spans="1:31" s="40" customFormat="1" ht="15" customHeight="1">
      <c r="A185" s="152"/>
      <c r="B185" s="274" t="s">
        <v>132</v>
      </c>
      <c r="C185" s="275"/>
      <c r="D185" s="275"/>
      <c r="E185" s="275"/>
      <c r="F185" s="276"/>
      <c r="G185" s="277">
        <v>1900</v>
      </c>
      <c r="H185" s="292"/>
      <c r="I185" s="142">
        <v>1900</v>
      </c>
      <c r="J185" s="117">
        <v>0</v>
      </c>
      <c r="K185" s="117">
        <v>0</v>
      </c>
      <c r="L185" s="117">
        <v>1893.11</v>
      </c>
      <c r="M185" s="117">
        <v>0</v>
      </c>
      <c r="N185" s="117">
        <v>0</v>
      </c>
      <c r="O185" s="117">
        <v>1900</v>
      </c>
      <c r="P185" s="117">
        <v>0</v>
      </c>
      <c r="Q185" s="117">
        <v>0</v>
      </c>
      <c r="R185" s="117">
        <f>0+1893.11</f>
        <v>1893.11</v>
      </c>
      <c r="S185" s="117">
        <v>0</v>
      </c>
      <c r="T185" s="117">
        <v>0</v>
      </c>
      <c r="U185" s="153">
        <f>R185/G185</f>
        <v>0.9963736842105263</v>
      </c>
      <c r="V185" s="196">
        <f>+'Mensual VEME2019'!I425+'Mensual VEME2019'!I545+'Mensual VEME2019'!I666</f>
        <v>1900</v>
      </c>
      <c r="W185" s="196">
        <f t="shared" si="37"/>
        <v>0</v>
      </c>
      <c r="X185" s="196">
        <f>+'Mensual VEME2019'!L425+'Mensual VEME2019'!L545+'Mensual VEME2019'!L666</f>
        <v>1893.11</v>
      </c>
      <c r="Y185" s="196">
        <f t="shared" si="38"/>
        <v>0</v>
      </c>
      <c r="Z185" s="196">
        <f t="shared" si="39"/>
        <v>1900</v>
      </c>
      <c r="AA185" s="196">
        <f t="shared" si="40"/>
        <v>0</v>
      </c>
      <c r="AB185" s="196">
        <f t="shared" si="41"/>
        <v>1893.11</v>
      </c>
      <c r="AC185" s="196">
        <f t="shared" si="42"/>
        <v>0</v>
      </c>
      <c r="AD185" s="197">
        <f t="shared" si="43"/>
        <v>0.9963736842105263</v>
      </c>
      <c r="AE185" s="198">
        <f t="shared" si="44"/>
        <v>0</v>
      </c>
    </row>
    <row r="186" spans="1:31" s="40" customFormat="1" ht="15" customHeight="1">
      <c r="A186" s="152"/>
      <c r="B186" s="274" t="s">
        <v>133</v>
      </c>
      <c r="C186" s="275"/>
      <c r="D186" s="275"/>
      <c r="E186" s="275"/>
      <c r="F186" s="276"/>
      <c r="G186" s="277">
        <v>20000</v>
      </c>
      <c r="H186" s="292"/>
      <c r="I186" s="142">
        <v>0</v>
      </c>
      <c r="J186" s="116">
        <v>0</v>
      </c>
      <c r="K186" s="116">
        <v>0</v>
      </c>
      <c r="L186" s="116">
        <v>0</v>
      </c>
      <c r="M186" s="116">
        <v>0</v>
      </c>
      <c r="N186" s="116">
        <v>0</v>
      </c>
      <c r="O186" s="116">
        <v>0</v>
      </c>
      <c r="P186" s="116">
        <v>0</v>
      </c>
      <c r="Q186" s="116">
        <v>0</v>
      </c>
      <c r="R186" s="116">
        <v>0</v>
      </c>
      <c r="S186" s="116">
        <v>0</v>
      </c>
      <c r="T186" s="116">
        <v>0</v>
      </c>
      <c r="U186" s="156">
        <f>R186/G186</f>
        <v>0</v>
      </c>
      <c r="V186" s="196">
        <f>+'Mensual VEME2019'!I426+'Mensual VEME2019'!I546+'Mensual VEME2019'!I667</f>
        <v>0</v>
      </c>
      <c r="W186" s="196">
        <f t="shared" si="37"/>
        <v>0</v>
      </c>
      <c r="X186" s="196">
        <f>+'Mensual VEME2019'!L426+'Mensual VEME2019'!L546+'Mensual VEME2019'!L667</f>
        <v>0</v>
      </c>
      <c r="Y186" s="196">
        <f t="shared" si="38"/>
        <v>0</v>
      </c>
      <c r="Z186" s="196">
        <f t="shared" si="39"/>
        <v>0</v>
      </c>
      <c r="AA186" s="196">
        <f t="shared" si="40"/>
        <v>0</v>
      </c>
      <c r="AB186" s="196">
        <f t="shared" si="41"/>
        <v>0</v>
      </c>
      <c r="AC186" s="196">
        <f t="shared" si="42"/>
        <v>0</v>
      </c>
      <c r="AD186" s="197">
        <f t="shared" si="43"/>
        <v>0</v>
      </c>
      <c r="AE186" s="198">
        <f t="shared" si="44"/>
        <v>0</v>
      </c>
    </row>
    <row r="187" spans="1:31" s="40" customFormat="1" ht="15" customHeight="1">
      <c r="A187" s="152"/>
      <c r="B187" s="274" t="s">
        <v>134</v>
      </c>
      <c r="C187" s="275"/>
      <c r="D187" s="275"/>
      <c r="E187" s="275"/>
      <c r="F187" s="276"/>
      <c r="G187" s="277">
        <v>7200</v>
      </c>
      <c r="H187" s="292"/>
      <c r="I187" s="142">
        <v>7200</v>
      </c>
      <c r="J187" s="116">
        <v>0</v>
      </c>
      <c r="K187" s="116">
        <v>0</v>
      </c>
      <c r="L187" s="116">
        <v>7200</v>
      </c>
      <c r="M187" s="116">
        <v>0</v>
      </c>
      <c r="N187" s="116">
        <v>0</v>
      </c>
      <c r="O187" s="116">
        <f>7200</f>
        <v>7200</v>
      </c>
      <c r="P187" s="116">
        <v>0</v>
      </c>
      <c r="Q187" s="116">
        <v>0</v>
      </c>
      <c r="R187" s="116">
        <f>7200</f>
        <v>7200</v>
      </c>
      <c r="S187" s="116">
        <v>0</v>
      </c>
      <c r="T187" s="116">
        <v>0</v>
      </c>
      <c r="U187" s="156">
        <f>R187/G187</f>
        <v>1</v>
      </c>
      <c r="V187" s="196">
        <f>+'Mensual VEME2019'!I427+'Mensual VEME2019'!I547+'Mensual VEME2019'!I668</f>
        <v>7200</v>
      </c>
      <c r="W187" s="196">
        <f t="shared" si="37"/>
        <v>0</v>
      </c>
      <c r="X187" s="196">
        <f>+'Mensual VEME2019'!L427+'Mensual VEME2019'!L547+'Mensual VEME2019'!L668</f>
        <v>7200</v>
      </c>
      <c r="Y187" s="196">
        <f t="shared" si="38"/>
        <v>0</v>
      </c>
      <c r="Z187" s="196">
        <f t="shared" si="39"/>
        <v>7200</v>
      </c>
      <c r="AA187" s="196">
        <f t="shared" si="40"/>
        <v>0</v>
      </c>
      <c r="AB187" s="196">
        <f t="shared" si="41"/>
        <v>7200</v>
      </c>
      <c r="AC187" s="196">
        <f t="shared" si="42"/>
        <v>0</v>
      </c>
      <c r="AD187" s="197">
        <f t="shared" si="43"/>
        <v>1</v>
      </c>
      <c r="AE187" s="198">
        <f t="shared" si="44"/>
        <v>0</v>
      </c>
    </row>
    <row r="188" spans="1:31" s="40" customFormat="1" ht="15" customHeight="1">
      <c r="A188" s="152"/>
      <c r="B188" s="274" t="s">
        <v>79</v>
      </c>
      <c r="C188" s="275"/>
      <c r="D188" s="275"/>
      <c r="E188" s="275"/>
      <c r="F188" s="276"/>
      <c r="G188" s="277">
        <v>37500</v>
      </c>
      <c r="H188" s="292"/>
      <c r="I188" s="142">
        <v>37500</v>
      </c>
      <c r="J188" s="116">
        <v>0</v>
      </c>
      <c r="K188" s="116">
        <v>0</v>
      </c>
      <c r="L188" s="116">
        <v>0</v>
      </c>
      <c r="M188" s="116">
        <v>0</v>
      </c>
      <c r="N188" s="116">
        <v>0</v>
      </c>
      <c r="O188" s="116">
        <v>37500</v>
      </c>
      <c r="P188" s="116">
        <v>0</v>
      </c>
      <c r="Q188" s="116">
        <v>0</v>
      </c>
      <c r="R188" s="116">
        <f>0+0+0+0</f>
        <v>0</v>
      </c>
      <c r="S188" s="116">
        <v>0</v>
      </c>
      <c r="T188" s="116">
        <v>0</v>
      </c>
      <c r="U188" s="156">
        <f t="shared" ref="U188:U189" si="46">R188/G188</f>
        <v>0</v>
      </c>
      <c r="V188" s="196">
        <f>+'Mensual VEME2019'!I428+'Mensual VEME2019'!I548+'Mensual VEME2019'!I669</f>
        <v>37500</v>
      </c>
      <c r="W188" s="196">
        <f t="shared" si="37"/>
        <v>0</v>
      </c>
      <c r="X188" s="196">
        <f>+'Mensual VEME2019'!L428+'Mensual VEME2019'!L548+'Mensual VEME2019'!L669</f>
        <v>0</v>
      </c>
      <c r="Y188" s="196">
        <f t="shared" si="38"/>
        <v>0</v>
      </c>
      <c r="Z188" s="196">
        <f t="shared" si="39"/>
        <v>37500</v>
      </c>
      <c r="AA188" s="196">
        <f t="shared" si="40"/>
        <v>0</v>
      </c>
      <c r="AB188" s="196">
        <f t="shared" si="41"/>
        <v>0</v>
      </c>
      <c r="AC188" s="196">
        <f t="shared" si="42"/>
        <v>0</v>
      </c>
      <c r="AD188" s="197">
        <f t="shared" si="43"/>
        <v>0</v>
      </c>
      <c r="AE188" s="198">
        <f t="shared" si="44"/>
        <v>0</v>
      </c>
    </row>
    <row r="189" spans="1:31" s="40" customFormat="1" ht="15" customHeight="1">
      <c r="A189" s="152"/>
      <c r="B189" s="274" t="s">
        <v>92</v>
      </c>
      <c r="C189" s="275"/>
      <c r="D189" s="275"/>
      <c r="E189" s="275"/>
      <c r="F189" s="276"/>
      <c r="G189" s="277">
        <v>39600</v>
      </c>
      <c r="H189" s="292"/>
      <c r="I189" s="142">
        <v>39600</v>
      </c>
      <c r="J189" s="116">
        <v>0</v>
      </c>
      <c r="K189" s="116">
        <v>0</v>
      </c>
      <c r="L189" s="116">
        <v>0</v>
      </c>
      <c r="M189" s="116">
        <v>0</v>
      </c>
      <c r="N189" s="116">
        <v>0</v>
      </c>
      <c r="O189" s="116">
        <v>39600</v>
      </c>
      <c r="P189" s="116">
        <v>0</v>
      </c>
      <c r="Q189" s="116">
        <v>0</v>
      </c>
      <c r="R189" s="116">
        <f>0+0+0+0</f>
        <v>0</v>
      </c>
      <c r="S189" s="116">
        <v>0</v>
      </c>
      <c r="T189" s="116">
        <v>0</v>
      </c>
      <c r="U189" s="156">
        <f t="shared" si="46"/>
        <v>0</v>
      </c>
      <c r="V189" s="196">
        <f>+'Mensual VEME2019'!I429+'Mensual VEME2019'!I549+'Mensual VEME2019'!I670</f>
        <v>39600</v>
      </c>
      <c r="W189" s="196">
        <f t="shared" si="37"/>
        <v>0</v>
      </c>
      <c r="X189" s="196">
        <f>+'Mensual VEME2019'!L429+'Mensual VEME2019'!L549+'Mensual VEME2019'!L670</f>
        <v>0</v>
      </c>
      <c r="Y189" s="196">
        <f t="shared" si="38"/>
        <v>0</v>
      </c>
      <c r="Z189" s="196">
        <f t="shared" si="39"/>
        <v>39600</v>
      </c>
      <c r="AA189" s="196">
        <f t="shared" si="40"/>
        <v>0</v>
      </c>
      <c r="AB189" s="196">
        <f t="shared" si="41"/>
        <v>0</v>
      </c>
      <c r="AC189" s="196">
        <f t="shared" si="42"/>
        <v>0</v>
      </c>
      <c r="AD189" s="197">
        <f t="shared" si="43"/>
        <v>0</v>
      </c>
      <c r="AE189" s="198">
        <f t="shared" si="44"/>
        <v>0</v>
      </c>
    </row>
    <row r="190" spans="1:31" s="40" customFormat="1">
      <c r="A190" s="152"/>
      <c r="B190" s="274" t="s">
        <v>65</v>
      </c>
      <c r="C190" s="275"/>
      <c r="D190" s="275"/>
      <c r="E190" s="275"/>
      <c r="F190" s="276"/>
      <c r="G190" s="277">
        <v>23750</v>
      </c>
      <c r="H190" s="292"/>
      <c r="I190" s="142">
        <v>3750</v>
      </c>
      <c r="J190" s="116">
        <v>0</v>
      </c>
      <c r="K190" s="116">
        <v>0</v>
      </c>
      <c r="L190" s="116">
        <v>0</v>
      </c>
      <c r="M190" s="116">
        <v>0</v>
      </c>
      <c r="N190" s="116">
        <v>0</v>
      </c>
      <c r="O190" s="116">
        <f>3750</f>
        <v>3750</v>
      </c>
      <c r="P190" s="116">
        <v>0</v>
      </c>
      <c r="Q190" s="116">
        <v>0</v>
      </c>
      <c r="R190" s="116">
        <v>0</v>
      </c>
      <c r="S190" s="116">
        <v>0</v>
      </c>
      <c r="T190" s="116">
        <v>0</v>
      </c>
      <c r="U190" s="156">
        <f>R190/G190</f>
        <v>0</v>
      </c>
      <c r="V190" s="196">
        <f>+'Mensual VEME2019'!I430+'Mensual VEME2019'!I550+'Mensual VEME2019'!I671</f>
        <v>3750</v>
      </c>
      <c r="W190" s="196">
        <f t="shared" si="37"/>
        <v>0</v>
      </c>
      <c r="X190" s="196">
        <f>+'Mensual VEME2019'!L430+'Mensual VEME2019'!L550+'Mensual VEME2019'!L671</f>
        <v>0</v>
      </c>
      <c r="Y190" s="196">
        <f t="shared" si="38"/>
        <v>0</v>
      </c>
      <c r="Z190" s="196">
        <f t="shared" si="39"/>
        <v>3750</v>
      </c>
      <c r="AA190" s="196">
        <f t="shared" si="40"/>
        <v>0</v>
      </c>
      <c r="AB190" s="196">
        <f t="shared" si="41"/>
        <v>0</v>
      </c>
      <c r="AC190" s="196">
        <f t="shared" si="42"/>
        <v>0</v>
      </c>
      <c r="AD190" s="197">
        <f t="shared" si="43"/>
        <v>0</v>
      </c>
      <c r="AE190" s="198">
        <f t="shared" si="44"/>
        <v>0</v>
      </c>
    </row>
    <row r="191" spans="1:31" ht="15.75" thickBot="1">
      <c r="A191" s="23"/>
      <c r="B191" s="453"/>
      <c r="C191" s="454"/>
      <c r="D191" s="454"/>
      <c r="E191" s="454"/>
      <c r="F191" s="455"/>
      <c r="G191" s="456"/>
      <c r="H191" s="457"/>
      <c r="I191" s="97"/>
      <c r="J191" s="26"/>
      <c r="K191" s="26"/>
      <c r="L191" s="26"/>
      <c r="M191" s="26"/>
      <c r="N191" s="26"/>
      <c r="O191" s="26"/>
      <c r="P191" s="26"/>
      <c r="Q191" s="26"/>
      <c r="R191" s="26"/>
      <c r="S191" s="26"/>
      <c r="T191" s="26"/>
      <c r="U191" s="27"/>
    </row>
    <row r="192" spans="1:31" ht="15.75" thickBot="1">
      <c r="A192" s="23"/>
      <c r="B192" s="257" t="s">
        <v>21</v>
      </c>
      <c r="C192" s="258"/>
      <c r="D192" s="258"/>
      <c r="E192" s="258"/>
      <c r="F192" s="259"/>
      <c r="G192" s="260">
        <f>SUM(G170:H191)</f>
        <v>675408</v>
      </c>
      <c r="H192" s="261"/>
      <c r="I192" s="29">
        <f>SUM(I170:I191)</f>
        <v>262508</v>
      </c>
      <c r="J192" s="29"/>
      <c r="K192" s="29"/>
      <c r="L192" s="29">
        <f>SUM(L170:L191)</f>
        <v>62116.15</v>
      </c>
      <c r="M192" s="29"/>
      <c r="N192" s="29"/>
      <c r="O192" s="29">
        <f>SUM(O170:O191)</f>
        <v>390008</v>
      </c>
      <c r="P192" s="29"/>
      <c r="Q192" s="29"/>
      <c r="R192" s="29">
        <f>SUM(R170:R191)</f>
        <v>136839.5</v>
      </c>
      <c r="S192" s="29"/>
      <c r="T192" s="30"/>
      <c r="U192" s="78">
        <f>R192/G192</f>
        <v>0.20260272309478122</v>
      </c>
      <c r="V192" s="196">
        <f>+'Mensual VEME2019'!I432+'Mensual VEME2019'!I552+'Mensual VEME2019'!I673</f>
        <v>262508</v>
      </c>
      <c r="W192" s="196">
        <f>+I192-V192</f>
        <v>0</v>
      </c>
      <c r="X192" s="196">
        <f>+'Mensual VEME2019'!L432+'Mensual VEME2019'!L552+'Mensual VEME2019'!L673</f>
        <v>62116.15</v>
      </c>
      <c r="Y192" s="196">
        <f>+L192-X192</f>
        <v>0</v>
      </c>
      <c r="Z192" s="196">
        <f>+V192+O73</f>
        <v>390008</v>
      </c>
      <c r="AA192" s="196">
        <f>+O192-Z192</f>
        <v>0</v>
      </c>
      <c r="AB192" s="196">
        <f>+X192+R73</f>
        <v>136839.5</v>
      </c>
      <c r="AC192" s="196">
        <f>+R192-AB192</f>
        <v>0</v>
      </c>
      <c r="AD192" s="197">
        <f>+AB192/G192</f>
        <v>0.20260272309478122</v>
      </c>
      <c r="AE192" s="198">
        <f>+U192-AD192</f>
        <v>0</v>
      </c>
    </row>
    <row r="193" spans="1:31" ht="15.75" thickBot="1">
      <c r="A193" s="23"/>
      <c r="B193" s="297"/>
      <c r="C193" s="297"/>
      <c r="D193" s="297"/>
      <c r="E193" s="297"/>
      <c r="F193" s="297"/>
      <c r="G193" s="298"/>
      <c r="H193" s="298"/>
      <c r="I193" s="97"/>
      <c r="J193" s="97"/>
      <c r="K193" s="97"/>
      <c r="L193" s="97"/>
      <c r="M193" s="97"/>
      <c r="N193" s="97"/>
      <c r="O193" s="97"/>
      <c r="P193" s="97"/>
      <c r="Q193" s="97"/>
      <c r="R193" s="97"/>
      <c r="S193" s="97"/>
      <c r="T193" s="97"/>
      <c r="U193" s="72"/>
    </row>
    <row r="194" spans="1:31" ht="15.75" thickBot="1">
      <c r="A194" s="23"/>
      <c r="B194" s="284" t="s">
        <v>30</v>
      </c>
      <c r="C194" s="285"/>
      <c r="D194" s="285"/>
      <c r="E194" s="285"/>
      <c r="F194" s="285"/>
      <c r="G194" s="285"/>
      <c r="H194" s="285"/>
      <c r="I194" s="285"/>
      <c r="J194" s="285"/>
      <c r="K194" s="285"/>
      <c r="L194" s="285"/>
      <c r="M194" s="285"/>
      <c r="N194" s="285"/>
      <c r="O194" s="285"/>
      <c r="P194" s="285"/>
      <c r="Q194" s="285"/>
      <c r="R194" s="285"/>
      <c r="S194" s="285"/>
      <c r="T194" s="285"/>
      <c r="U194" s="286"/>
    </row>
    <row r="195" spans="1:31" s="40" customFormat="1" ht="15" customHeight="1">
      <c r="A195" s="152"/>
      <c r="B195" s="287" t="s">
        <v>80</v>
      </c>
      <c r="C195" s="288"/>
      <c r="D195" s="288"/>
      <c r="E195" s="288"/>
      <c r="F195" s="289"/>
      <c r="G195" s="290">
        <v>11500</v>
      </c>
      <c r="H195" s="291"/>
      <c r="I195" s="161">
        <v>0</v>
      </c>
      <c r="J195" s="161">
        <v>0</v>
      </c>
      <c r="K195" s="161">
        <v>0</v>
      </c>
      <c r="L195" s="161">
        <v>0</v>
      </c>
      <c r="M195" s="161">
        <v>0</v>
      </c>
      <c r="N195" s="161">
        <v>0</v>
      </c>
      <c r="O195" s="161">
        <v>0</v>
      </c>
      <c r="P195" s="161">
        <v>0</v>
      </c>
      <c r="Q195" s="161">
        <v>0</v>
      </c>
      <c r="R195" s="161">
        <v>0</v>
      </c>
      <c r="S195" s="161">
        <v>0</v>
      </c>
      <c r="T195" s="141">
        <v>0</v>
      </c>
      <c r="U195" s="162">
        <f t="shared" ref="U195:U202" si="47">R195/G195</f>
        <v>0</v>
      </c>
      <c r="V195" s="196">
        <f>+'Mensual VEME2019'!I435+'Mensual VEME2019'!I555+'Mensual VEME2019'!I676</f>
        <v>0</v>
      </c>
      <c r="W195" s="196">
        <f t="shared" ref="W195:W202" si="48">+I195-V195</f>
        <v>0</v>
      </c>
      <c r="X195" s="196">
        <f>+'Mensual VEME2019'!L435+'Mensual VEME2019'!L555+'Mensual VEME2019'!L676</f>
        <v>0</v>
      </c>
      <c r="Y195" s="196">
        <f t="shared" ref="Y195:Y202" si="49">+L195-X195</f>
        <v>0</v>
      </c>
      <c r="Z195" s="196">
        <f t="shared" ref="Z195:Z202" si="50">+V195+O76</f>
        <v>0</v>
      </c>
      <c r="AA195" s="196">
        <f t="shared" ref="AA195:AA202" si="51">+O195-Z195</f>
        <v>0</v>
      </c>
      <c r="AB195" s="196">
        <f t="shared" ref="AB195:AB202" si="52">+X195+R76</f>
        <v>0</v>
      </c>
      <c r="AC195" s="196">
        <f t="shared" ref="AC195:AC202" si="53">+R195-AB195</f>
        <v>0</v>
      </c>
      <c r="AD195" s="197">
        <f t="shared" ref="AD195:AD202" si="54">+AB195/G195</f>
        <v>0</v>
      </c>
      <c r="AE195" s="198">
        <f t="shared" ref="AE195:AE202" si="55">+U195-AD195</f>
        <v>0</v>
      </c>
    </row>
    <row r="196" spans="1:31" s="40" customFormat="1">
      <c r="A196" s="152"/>
      <c r="B196" s="274" t="s">
        <v>124</v>
      </c>
      <c r="C196" s="275"/>
      <c r="D196" s="275"/>
      <c r="E196" s="275"/>
      <c r="F196" s="276"/>
      <c r="G196" s="277">
        <v>30000</v>
      </c>
      <c r="H196" s="278"/>
      <c r="I196" s="116">
        <v>0</v>
      </c>
      <c r="J196" s="116">
        <v>0</v>
      </c>
      <c r="K196" s="116">
        <v>0</v>
      </c>
      <c r="L196" s="116">
        <v>0</v>
      </c>
      <c r="M196" s="116">
        <v>0</v>
      </c>
      <c r="N196" s="116">
        <v>0</v>
      </c>
      <c r="O196" s="116">
        <v>0</v>
      </c>
      <c r="P196" s="116">
        <v>0</v>
      </c>
      <c r="Q196" s="116">
        <v>0</v>
      </c>
      <c r="R196" s="116">
        <v>0</v>
      </c>
      <c r="S196" s="116">
        <v>0</v>
      </c>
      <c r="T196" s="117">
        <v>0</v>
      </c>
      <c r="U196" s="153">
        <f t="shared" si="47"/>
        <v>0</v>
      </c>
      <c r="V196" s="196">
        <f>+'Mensual VEME2019'!I436+'Mensual VEME2019'!I556+'Mensual VEME2019'!I677</f>
        <v>0</v>
      </c>
      <c r="W196" s="196">
        <f t="shared" si="48"/>
        <v>0</v>
      </c>
      <c r="X196" s="196">
        <f>+'Mensual VEME2019'!L436+'Mensual VEME2019'!L556+'Mensual VEME2019'!L677</f>
        <v>0</v>
      </c>
      <c r="Y196" s="196">
        <f t="shared" si="49"/>
        <v>0</v>
      </c>
      <c r="Z196" s="196">
        <f t="shared" si="50"/>
        <v>0</v>
      </c>
      <c r="AA196" s="196">
        <f t="shared" si="51"/>
        <v>0</v>
      </c>
      <c r="AB196" s="196">
        <f t="shared" si="52"/>
        <v>0</v>
      </c>
      <c r="AC196" s="196">
        <f t="shared" si="53"/>
        <v>0</v>
      </c>
      <c r="AD196" s="197">
        <f t="shared" si="54"/>
        <v>0</v>
      </c>
      <c r="AE196" s="198">
        <f t="shared" si="55"/>
        <v>0</v>
      </c>
    </row>
    <row r="197" spans="1:31" s="40" customFormat="1" ht="15" customHeight="1">
      <c r="A197" s="152"/>
      <c r="B197" s="274" t="s">
        <v>123</v>
      </c>
      <c r="C197" s="275"/>
      <c r="D197" s="275"/>
      <c r="E197" s="275"/>
      <c r="F197" s="276"/>
      <c r="G197" s="277">
        <v>12328</v>
      </c>
      <c r="H197" s="278"/>
      <c r="I197" s="116">
        <v>0</v>
      </c>
      <c r="J197" s="116">
        <v>0</v>
      </c>
      <c r="K197" s="116">
        <v>0</v>
      </c>
      <c r="L197" s="116">
        <v>12328</v>
      </c>
      <c r="M197" s="116">
        <v>0</v>
      </c>
      <c r="N197" s="116">
        <v>0</v>
      </c>
      <c r="O197" s="116">
        <v>12328</v>
      </c>
      <c r="P197" s="116">
        <v>0</v>
      </c>
      <c r="Q197" s="116">
        <v>0</v>
      </c>
      <c r="R197" s="116">
        <v>12328</v>
      </c>
      <c r="S197" s="116">
        <v>0</v>
      </c>
      <c r="T197" s="117">
        <v>0</v>
      </c>
      <c r="U197" s="153">
        <f t="shared" si="47"/>
        <v>1</v>
      </c>
      <c r="V197" s="196">
        <f>+'Mensual VEME2019'!I437+'Mensual VEME2019'!I557+'Mensual VEME2019'!I678</f>
        <v>0</v>
      </c>
      <c r="W197" s="196">
        <f t="shared" si="48"/>
        <v>0</v>
      </c>
      <c r="X197" s="196">
        <f>+'Mensual VEME2019'!L437+'Mensual VEME2019'!L557+'Mensual VEME2019'!L678</f>
        <v>12328</v>
      </c>
      <c r="Y197" s="196">
        <f t="shared" si="49"/>
        <v>0</v>
      </c>
      <c r="Z197" s="196">
        <f t="shared" si="50"/>
        <v>12328</v>
      </c>
      <c r="AA197" s="196">
        <f t="shared" si="51"/>
        <v>0</v>
      </c>
      <c r="AB197" s="196">
        <f t="shared" si="52"/>
        <v>12328</v>
      </c>
      <c r="AC197" s="196">
        <f t="shared" si="53"/>
        <v>0</v>
      </c>
      <c r="AD197" s="197">
        <f t="shared" si="54"/>
        <v>1</v>
      </c>
      <c r="AE197" s="198">
        <f t="shared" si="55"/>
        <v>0</v>
      </c>
    </row>
    <row r="198" spans="1:31" s="40" customFormat="1" ht="15" customHeight="1">
      <c r="A198" s="152"/>
      <c r="B198" s="274" t="s">
        <v>66</v>
      </c>
      <c r="C198" s="275"/>
      <c r="D198" s="275"/>
      <c r="E198" s="275"/>
      <c r="F198" s="276"/>
      <c r="G198" s="277">
        <v>16000</v>
      </c>
      <c r="H198" s="278"/>
      <c r="I198" s="116">
        <v>16000</v>
      </c>
      <c r="J198" s="116">
        <v>0</v>
      </c>
      <c r="K198" s="116">
        <v>0</v>
      </c>
      <c r="L198" s="116">
        <v>16000</v>
      </c>
      <c r="M198" s="116">
        <v>0</v>
      </c>
      <c r="N198" s="116">
        <v>0</v>
      </c>
      <c r="O198" s="116">
        <v>16000</v>
      </c>
      <c r="P198" s="116">
        <v>0</v>
      </c>
      <c r="Q198" s="116">
        <v>0</v>
      </c>
      <c r="R198" s="116">
        <f>0+0+0+0+6710.67+9289.33</f>
        <v>16000</v>
      </c>
      <c r="S198" s="116">
        <v>0</v>
      </c>
      <c r="T198" s="117">
        <v>0</v>
      </c>
      <c r="U198" s="153">
        <f t="shared" si="47"/>
        <v>1</v>
      </c>
      <c r="V198" s="196">
        <f>+'Mensual VEME2019'!I438+'Mensual VEME2019'!I558+'Mensual VEME2019'!I679</f>
        <v>16000</v>
      </c>
      <c r="W198" s="196">
        <f t="shared" si="48"/>
        <v>0</v>
      </c>
      <c r="X198" s="196">
        <f>+'Mensual VEME2019'!L438+'Mensual VEME2019'!L558+'Mensual VEME2019'!L679</f>
        <v>16000</v>
      </c>
      <c r="Y198" s="196">
        <f t="shared" si="49"/>
        <v>0</v>
      </c>
      <c r="Z198" s="196">
        <f t="shared" si="50"/>
        <v>16000</v>
      </c>
      <c r="AA198" s="196">
        <f t="shared" si="51"/>
        <v>0</v>
      </c>
      <c r="AB198" s="196">
        <f t="shared" si="52"/>
        <v>16000</v>
      </c>
      <c r="AC198" s="196">
        <f t="shared" si="53"/>
        <v>0</v>
      </c>
      <c r="AD198" s="197">
        <f t="shared" si="54"/>
        <v>1</v>
      </c>
      <c r="AE198" s="198">
        <f t="shared" si="55"/>
        <v>0</v>
      </c>
    </row>
    <row r="199" spans="1:31" s="40" customFormat="1" ht="15" customHeight="1">
      <c r="A199" s="152"/>
      <c r="B199" s="274" t="s">
        <v>67</v>
      </c>
      <c r="C199" s="275"/>
      <c r="D199" s="275"/>
      <c r="E199" s="275"/>
      <c r="F199" s="276"/>
      <c r="G199" s="277">
        <v>15000</v>
      </c>
      <c r="H199" s="278"/>
      <c r="I199" s="116">
        <v>0</v>
      </c>
      <c r="J199" s="116">
        <v>0</v>
      </c>
      <c r="K199" s="116">
        <v>0</v>
      </c>
      <c r="L199" s="116">
        <v>0</v>
      </c>
      <c r="M199" s="116">
        <v>0</v>
      </c>
      <c r="N199" s="116">
        <v>0</v>
      </c>
      <c r="O199" s="116">
        <v>0</v>
      </c>
      <c r="P199" s="116">
        <v>0</v>
      </c>
      <c r="Q199" s="116">
        <v>0</v>
      </c>
      <c r="R199" s="116">
        <v>0</v>
      </c>
      <c r="S199" s="116">
        <v>0</v>
      </c>
      <c r="T199" s="117">
        <v>0</v>
      </c>
      <c r="U199" s="153">
        <f t="shared" si="47"/>
        <v>0</v>
      </c>
      <c r="V199" s="196">
        <f>+'Mensual VEME2019'!I439+'Mensual VEME2019'!I559+'Mensual VEME2019'!I680</f>
        <v>0</v>
      </c>
      <c r="W199" s="196">
        <f t="shared" si="48"/>
        <v>0</v>
      </c>
      <c r="X199" s="196">
        <f>+'Mensual VEME2019'!L439+'Mensual VEME2019'!L559+'Mensual VEME2019'!L680</f>
        <v>0</v>
      </c>
      <c r="Y199" s="196">
        <f t="shared" si="49"/>
        <v>0</v>
      </c>
      <c r="Z199" s="196">
        <f t="shared" si="50"/>
        <v>0</v>
      </c>
      <c r="AA199" s="196">
        <f t="shared" si="51"/>
        <v>0</v>
      </c>
      <c r="AB199" s="196">
        <f t="shared" si="52"/>
        <v>0</v>
      </c>
      <c r="AC199" s="196">
        <f t="shared" si="53"/>
        <v>0</v>
      </c>
      <c r="AD199" s="197">
        <f t="shared" si="54"/>
        <v>0</v>
      </c>
      <c r="AE199" s="198">
        <f t="shared" si="55"/>
        <v>0</v>
      </c>
    </row>
    <row r="200" spans="1:31" s="40" customFormat="1" ht="15" customHeight="1">
      <c r="A200" s="152"/>
      <c r="B200" s="274" t="s">
        <v>93</v>
      </c>
      <c r="C200" s="275"/>
      <c r="D200" s="275"/>
      <c r="E200" s="275"/>
      <c r="F200" s="276"/>
      <c r="G200" s="277">
        <v>12000</v>
      </c>
      <c r="H200" s="278"/>
      <c r="I200" s="116">
        <v>6000</v>
      </c>
      <c r="J200" s="116">
        <v>0</v>
      </c>
      <c r="K200" s="116">
        <v>0</v>
      </c>
      <c r="L200" s="116">
        <v>0</v>
      </c>
      <c r="M200" s="116">
        <v>0</v>
      </c>
      <c r="N200" s="116">
        <v>0</v>
      </c>
      <c r="O200" s="116">
        <v>6000</v>
      </c>
      <c r="P200" s="116">
        <v>0</v>
      </c>
      <c r="Q200" s="116">
        <v>0</v>
      </c>
      <c r="R200" s="116">
        <v>0</v>
      </c>
      <c r="S200" s="116">
        <v>0</v>
      </c>
      <c r="T200" s="117">
        <v>0</v>
      </c>
      <c r="U200" s="153">
        <f t="shared" si="47"/>
        <v>0</v>
      </c>
      <c r="V200" s="196">
        <f>+'Mensual VEME2019'!I440+'Mensual VEME2019'!I560+'Mensual VEME2019'!I681</f>
        <v>6000</v>
      </c>
      <c r="W200" s="196">
        <f t="shared" si="48"/>
        <v>0</v>
      </c>
      <c r="X200" s="196">
        <f>+'Mensual VEME2019'!L440+'Mensual VEME2019'!L560+'Mensual VEME2019'!L681</f>
        <v>0</v>
      </c>
      <c r="Y200" s="196">
        <f t="shared" si="49"/>
        <v>0</v>
      </c>
      <c r="Z200" s="196">
        <f t="shared" si="50"/>
        <v>6000</v>
      </c>
      <c r="AA200" s="196">
        <f t="shared" si="51"/>
        <v>0</v>
      </c>
      <c r="AB200" s="196">
        <f t="shared" si="52"/>
        <v>0</v>
      </c>
      <c r="AC200" s="196">
        <f t="shared" si="53"/>
        <v>0</v>
      </c>
      <c r="AD200" s="197">
        <f t="shared" si="54"/>
        <v>0</v>
      </c>
      <c r="AE200" s="198">
        <f t="shared" si="55"/>
        <v>0</v>
      </c>
    </row>
    <row r="201" spans="1:31" s="40" customFormat="1" ht="15" customHeight="1">
      <c r="A201" s="152"/>
      <c r="B201" s="274" t="s">
        <v>69</v>
      </c>
      <c r="C201" s="275"/>
      <c r="D201" s="275"/>
      <c r="E201" s="275"/>
      <c r="F201" s="276"/>
      <c r="G201" s="277">
        <v>4400</v>
      </c>
      <c r="H201" s="278"/>
      <c r="I201" s="116">
        <v>4400</v>
      </c>
      <c r="J201" s="116">
        <v>0</v>
      </c>
      <c r="K201" s="116">
        <v>0</v>
      </c>
      <c r="L201" s="116">
        <v>0</v>
      </c>
      <c r="M201" s="116">
        <v>0</v>
      </c>
      <c r="N201" s="116">
        <v>0</v>
      </c>
      <c r="O201" s="116">
        <v>4400</v>
      </c>
      <c r="P201" s="116">
        <v>0</v>
      </c>
      <c r="Q201" s="116">
        <v>0</v>
      </c>
      <c r="R201" s="116">
        <v>0</v>
      </c>
      <c r="S201" s="116">
        <v>0</v>
      </c>
      <c r="T201" s="117">
        <v>0</v>
      </c>
      <c r="U201" s="153">
        <f t="shared" si="47"/>
        <v>0</v>
      </c>
      <c r="V201" s="196">
        <f>+'Mensual VEME2019'!I441+'Mensual VEME2019'!I561+'Mensual VEME2019'!I682</f>
        <v>4400</v>
      </c>
      <c r="W201" s="196">
        <f t="shared" si="48"/>
        <v>0</v>
      </c>
      <c r="X201" s="196">
        <f>+'Mensual VEME2019'!L441+'Mensual VEME2019'!L561+'Mensual VEME2019'!L682</f>
        <v>0</v>
      </c>
      <c r="Y201" s="196">
        <f t="shared" si="49"/>
        <v>0</v>
      </c>
      <c r="Z201" s="196">
        <f t="shared" si="50"/>
        <v>4400</v>
      </c>
      <c r="AA201" s="196">
        <f t="shared" si="51"/>
        <v>0</v>
      </c>
      <c r="AB201" s="196">
        <f t="shared" si="52"/>
        <v>0</v>
      </c>
      <c r="AC201" s="196">
        <f t="shared" si="53"/>
        <v>0</v>
      </c>
      <c r="AD201" s="197">
        <f t="shared" si="54"/>
        <v>0</v>
      </c>
      <c r="AE201" s="198">
        <f t="shared" si="55"/>
        <v>0</v>
      </c>
    </row>
    <row r="202" spans="1:31" s="40" customFormat="1" ht="15" customHeight="1">
      <c r="A202" s="152"/>
      <c r="B202" s="274" t="s">
        <v>94</v>
      </c>
      <c r="C202" s="275"/>
      <c r="D202" s="275"/>
      <c r="E202" s="275"/>
      <c r="F202" s="276"/>
      <c r="G202" s="277">
        <v>3200</v>
      </c>
      <c r="H202" s="278"/>
      <c r="I202" s="116">
        <v>800</v>
      </c>
      <c r="J202" s="116">
        <v>0</v>
      </c>
      <c r="K202" s="116">
        <v>0</v>
      </c>
      <c r="L202" s="116">
        <v>0</v>
      </c>
      <c r="M202" s="116">
        <v>0</v>
      </c>
      <c r="N202" s="116">
        <v>0</v>
      </c>
      <c r="O202" s="116">
        <v>800</v>
      </c>
      <c r="P202" s="116">
        <v>0</v>
      </c>
      <c r="Q202" s="116">
        <v>0</v>
      </c>
      <c r="R202" s="116">
        <v>0</v>
      </c>
      <c r="S202" s="116">
        <v>0</v>
      </c>
      <c r="T202" s="117">
        <v>0</v>
      </c>
      <c r="U202" s="153">
        <f t="shared" si="47"/>
        <v>0</v>
      </c>
      <c r="V202" s="196">
        <f>+'Mensual VEME2019'!I442+'Mensual VEME2019'!I562+'Mensual VEME2019'!I683</f>
        <v>800</v>
      </c>
      <c r="W202" s="196">
        <f t="shared" si="48"/>
        <v>0</v>
      </c>
      <c r="X202" s="196">
        <f>+'Mensual VEME2019'!L442+'Mensual VEME2019'!L562+'Mensual VEME2019'!L683</f>
        <v>0</v>
      </c>
      <c r="Y202" s="196">
        <f t="shared" si="49"/>
        <v>0</v>
      </c>
      <c r="Z202" s="196">
        <f t="shared" si="50"/>
        <v>800</v>
      </c>
      <c r="AA202" s="196">
        <f t="shared" si="51"/>
        <v>0</v>
      </c>
      <c r="AB202" s="196">
        <f t="shared" si="52"/>
        <v>0</v>
      </c>
      <c r="AC202" s="196">
        <f t="shared" si="53"/>
        <v>0</v>
      </c>
      <c r="AD202" s="197">
        <f t="shared" si="54"/>
        <v>0</v>
      </c>
      <c r="AE202" s="198">
        <f t="shared" si="55"/>
        <v>0</v>
      </c>
    </row>
    <row r="203" spans="1:31" s="40" customFormat="1" ht="15.75" thickBot="1">
      <c r="A203" s="152"/>
      <c r="B203" s="279"/>
      <c r="C203" s="280"/>
      <c r="D203" s="280"/>
      <c r="E203" s="280"/>
      <c r="F203" s="281"/>
      <c r="G203" s="282"/>
      <c r="H203" s="283"/>
      <c r="I203" s="163"/>
      <c r="J203" s="163"/>
      <c r="K203" s="163"/>
      <c r="L203" s="163"/>
      <c r="M203" s="163"/>
      <c r="N203" s="163"/>
      <c r="O203" s="163"/>
      <c r="P203" s="163"/>
      <c r="Q203" s="163"/>
      <c r="R203" s="163"/>
      <c r="S203" s="163"/>
      <c r="T203" s="164"/>
      <c r="U203" s="165"/>
    </row>
    <row r="204" spans="1:31" ht="15.75" thickBot="1">
      <c r="A204" s="23"/>
      <c r="B204" s="257" t="s">
        <v>21</v>
      </c>
      <c r="C204" s="258"/>
      <c r="D204" s="258"/>
      <c r="E204" s="258"/>
      <c r="F204" s="259"/>
      <c r="G204" s="260">
        <f>SUM(G195:H203)</f>
        <v>104428</v>
      </c>
      <c r="H204" s="261"/>
      <c r="I204" s="29">
        <f>SUM(I195:I203)</f>
        <v>27200</v>
      </c>
      <c r="J204" s="29"/>
      <c r="K204" s="29"/>
      <c r="L204" s="29">
        <f>SUM(L195:L203)</f>
        <v>28328</v>
      </c>
      <c r="M204" s="29"/>
      <c r="N204" s="29"/>
      <c r="O204" s="29">
        <f>SUM(O195:O203)</f>
        <v>39528</v>
      </c>
      <c r="P204" s="29"/>
      <c r="Q204" s="29"/>
      <c r="R204" s="29">
        <f>SUM(R195:R203)</f>
        <v>28328</v>
      </c>
      <c r="S204" s="30"/>
      <c r="T204" s="73"/>
      <c r="U204" s="71">
        <f t="shared" ref="U204" si="56">R204/G204</f>
        <v>0.27126824223388363</v>
      </c>
      <c r="V204" s="196">
        <f>+'Mensual VEME2019'!I444+'Mensual VEME2019'!I564+'Mensual VEME2019'!I685</f>
        <v>27200</v>
      </c>
      <c r="W204" s="196">
        <f>+I204-V204</f>
        <v>0</v>
      </c>
      <c r="X204" s="196">
        <f>+'Mensual VEME2019'!L444+'Mensual VEME2019'!L564+'Mensual VEME2019'!L685</f>
        <v>28328</v>
      </c>
      <c r="Y204" s="196">
        <f>+L204-X204</f>
        <v>0</v>
      </c>
      <c r="Z204" s="196">
        <f>+V204+O85</f>
        <v>39528</v>
      </c>
      <c r="AA204" s="196">
        <f>+O204-Z204</f>
        <v>0</v>
      </c>
      <c r="AB204" s="196">
        <f>+X204+R85</f>
        <v>28328</v>
      </c>
      <c r="AC204" s="196">
        <f>+R204-AB204</f>
        <v>0</v>
      </c>
      <c r="AD204" s="197">
        <f>+AB204/G204</f>
        <v>0.27126824223388363</v>
      </c>
      <c r="AE204" s="198">
        <f>+U204-AD204</f>
        <v>0</v>
      </c>
    </row>
    <row r="205" spans="1:31" ht="15.75" thickBot="1">
      <c r="C205" s="32"/>
      <c r="I205" s="104">
        <f>SUM(I192,I204)</f>
        <v>289708</v>
      </c>
      <c r="L205" s="104">
        <f>SUM(L192,L204)</f>
        <v>90444.15</v>
      </c>
      <c r="N205" s="33"/>
      <c r="O205" s="104">
        <f>SUM(O192,O204)</f>
        <v>429536</v>
      </c>
      <c r="R205" s="104">
        <f>SUM(R192,R204)</f>
        <v>165167.5</v>
      </c>
      <c r="U205" s="33"/>
    </row>
    <row r="206" spans="1:31" ht="15.75" thickBot="1">
      <c r="B206" s="262" t="s">
        <v>31</v>
      </c>
      <c r="C206" s="263"/>
      <c r="D206" s="263"/>
      <c r="E206" s="263"/>
      <c r="F206" s="263"/>
      <c r="G206" s="263"/>
      <c r="H206" s="263"/>
      <c r="I206" s="263"/>
      <c r="J206" s="263"/>
      <c r="K206" s="263"/>
      <c r="L206" s="263"/>
      <c r="M206" s="263"/>
      <c r="N206" s="263"/>
      <c r="O206" s="263"/>
      <c r="P206" s="263"/>
      <c r="Q206" s="263"/>
      <c r="R206" s="263"/>
      <c r="S206" s="263"/>
      <c r="T206" s="263"/>
      <c r="U206" s="263"/>
      <c r="V206" s="34"/>
    </row>
    <row r="207" spans="1:31" ht="15" customHeight="1" thickBot="1">
      <c r="B207" s="264"/>
      <c r="C207" s="265"/>
      <c r="D207" s="267" t="s">
        <v>15</v>
      </c>
      <c r="E207" s="268"/>
      <c r="F207" s="268"/>
      <c r="G207" s="268"/>
      <c r="H207" s="268"/>
      <c r="I207" s="269"/>
      <c r="J207" s="267" t="s">
        <v>122</v>
      </c>
      <c r="K207" s="268"/>
      <c r="L207" s="268"/>
      <c r="M207" s="268"/>
      <c r="N207" s="268"/>
      <c r="O207" s="269"/>
      <c r="P207" s="267" t="s">
        <v>121</v>
      </c>
      <c r="Q207" s="268"/>
      <c r="R207" s="268"/>
      <c r="S207" s="268"/>
      <c r="T207" s="268"/>
      <c r="U207" s="269"/>
    </row>
    <row r="208" spans="1:31" ht="15.75" customHeight="1" thickBot="1">
      <c r="B208" s="219"/>
      <c r="C208" s="266"/>
      <c r="D208" s="270" t="s">
        <v>26</v>
      </c>
      <c r="E208" s="271"/>
      <c r="F208" s="272" t="s">
        <v>27</v>
      </c>
      <c r="G208" s="273"/>
      <c r="H208" s="268" t="s">
        <v>28</v>
      </c>
      <c r="I208" s="269"/>
      <c r="J208" s="272" t="s">
        <v>26</v>
      </c>
      <c r="K208" s="273"/>
      <c r="L208" s="272" t="s">
        <v>27</v>
      </c>
      <c r="M208" s="273"/>
      <c r="N208" s="268" t="s">
        <v>28</v>
      </c>
      <c r="O208" s="269"/>
      <c r="P208" s="272" t="s">
        <v>26</v>
      </c>
      <c r="Q208" s="273"/>
      <c r="R208" s="272" t="s">
        <v>27</v>
      </c>
      <c r="S208" s="273"/>
      <c r="T208" s="268" t="s">
        <v>28</v>
      </c>
      <c r="U208" s="269"/>
    </row>
    <row r="209" spans="1:21" ht="30" customHeight="1">
      <c r="A209" s="23"/>
      <c r="B209" s="250" t="s">
        <v>33</v>
      </c>
      <c r="C209" s="251"/>
      <c r="D209" s="252">
        <v>675408</v>
      </c>
      <c r="E209" s="253"/>
      <c r="F209" s="252">
        <v>0</v>
      </c>
      <c r="G209" s="253"/>
      <c r="H209" s="252">
        <v>0</v>
      </c>
      <c r="I209" s="253"/>
      <c r="J209" s="254">
        <v>62116.15</v>
      </c>
      <c r="K209" s="255"/>
      <c r="L209" s="240">
        <v>0</v>
      </c>
      <c r="M209" s="253"/>
      <c r="N209" s="240">
        <v>0</v>
      </c>
      <c r="O209" s="256"/>
      <c r="P209" s="254">
        <f>23416.71+27887.03+23419.61+20279.25+15856.72+25980.18</f>
        <v>136839.5</v>
      </c>
      <c r="Q209" s="255"/>
      <c r="R209" s="240">
        <v>0</v>
      </c>
      <c r="S209" s="253"/>
      <c r="T209" s="240">
        <v>0</v>
      </c>
      <c r="U209" s="241"/>
    </row>
    <row r="210" spans="1:21" ht="30" customHeight="1" thickBot="1">
      <c r="A210" s="4"/>
      <c r="B210" s="242" t="s">
        <v>34</v>
      </c>
      <c r="C210" s="243"/>
      <c r="D210" s="244">
        <v>104428</v>
      </c>
      <c r="E210" s="245"/>
      <c r="F210" s="244">
        <v>0</v>
      </c>
      <c r="G210" s="245"/>
      <c r="H210" s="244">
        <v>0</v>
      </c>
      <c r="I210" s="245"/>
      <c r="J210" s="244">
        <v>28238</v>
      </c>
      <c r="K210" s="245"/>
      <c r="L210" s="246">
        <v>0</v>
      </c>
      <c r="M210" s="245"/>
      <c r="N210" s="246">
        <v>0</v>
      </c>
      <c r="O210" s="247"/>
      <c r="P210" s="248">
        <f>0+0+0+12328+6710.67+9289.33</f>
        <v>28328</v>
      </c>
      <c r="Q210" s="249"/>
      <c r="R210" s="246">
        <v>0</v>
      </c>
      <c r="S210" s="245"/>
      <c r="T210" s="246">
        <v>0</v>
      </c>
      <c r="U210" s="247"/>
    </row>
    <row r="211" spans="1:21" ht="15.75" thickBot="1">
      <c r="A211" s="23"/>
      <c r="B211" s="233" t="s">
        <v>21</v>
      </c>
      <c r="C211" s="234"/>
      <c r="D211" s="235">
        <f>SUM(D209:E210)</f>
        <v>779836</v>
      </c>
      <c r="E211" s="236"/>
      <c r="F211" s="235">
        <f>SUM(F209:G210)</f>
        <v>0</v>
      </c>
      <c r="G211" s="236"/>
      <c r="H211" s="235">
        <f>SUM(H209:I210)</f>
        <v>0</v>
      </c>
      <c r="I211" s="236"/>
      <c r="J211" s="237">
        <f>SUM(J209:K210)</f>
        <v>90354.15</v>
      </c>
      <c r="K211" s="238"/>
      <c r="L211" s="215">
        <f>SUM(L209:M210)</f>
        <v>0</v>
      </c>
      <c r="M211" s="238"/>
      <c r="N211" s="236">
        <f>SUM(N209:O210)</f>
        <v>0</v>
      </c>
      <c r="O211" s="236"/>
      <c r="P211" s="237">
        <f>SUM(P209:Q210)</f>
        <v>165167.5</v>
      </c>
      <c r="Q211" s="239"/>
      <c r="R211" s="215">
        <f>SUM(R209:S210)</f>
        <v>0</v>
      </c>
      <c r="S211" s="238"/>
      <c r="T211" s="215">
        <f>SUM(T209:U210)</f>
        <v>0</v>
      </c>
      <c r="U211" s="216"/>
    </row>
    <row r="212" spans="1:21">
      <c r="A212" s="23"/>
      <c r="B212" s="99"/>
      <c r="C212" s="99"/>
      <c r="D212" s="99"/>
      <c r="E212" s="99"/>
      <c r="F212" s="103"/>
      <c r="G212" s="103"/>
      <c r="H212" s="96"/>
      <c r="I212" s="96"/>
      <c r="J212" s="103"/>
      <c r="K212" s="103"/>
      <c r="L212" s="103"/>
      <c r="M212" s="96"/>
      <c r="N212" s="103"/>
      <c r="O212" s="96"/>
      <c r="P212" s="96"/>
      <c r="Q212" s="103"/>
      <c r="R212" s="23"/>
      <c r="S212" s="23"/>
      <c r="T212" s="23"/>
      <c r="U212" s="23"/>
    </row>
    <row r="213" spans="1:21" ht="15.75" thickBot="1">
      <c r="A213" s="23"/>
      <c r="B213" s="99"/>
      <c r="C213" s="99"/>
      <c r="D213" s="99"/>
      <c r="E213" s="99"/>
      <c r="F213" s="103"/>
      <c r="G213" s="103"/>
      <c r="H213" s="103"/>
      <c r="I213" s="103"/>
      <c r="J213" s="103"/>
      <c r="K213" s="103"/>
      <c r="L213" s="103"/>
      <c r="M213" s="103"/>
      <c r="N213" s="103"/>
      <c r="O213" s="103"/>
      <c r="P213" s="103"/>
      <c r="Q213" s="103"/>
      <c r="R213" s="23"/>
      <c r="S213" s="23"/>
      <c r="T213" s="23"/>
      <c r="U213" s="23"/>
    </row>
    <row r="214" spans="1:21" ht="15.75" thickBot="1">
      <c r="B214" s="217" t="s">
        <v>35</v>
      </c>
      <c r="C214" s="218"/>
      <c r="D214" s="218"/>
      <c r="E214" s="219"/>
      <c r="F214" s="205"/>
      <c r="G214" s="205"/>
      <c r="H214" s="205"/>
      <c r="I214" s="205"/>
      <c r="J214" s="205"/>
      <c r="K214" s="205"/>
      <c r="L214" s="205"/>
      <c r="M214" s="205"/>
      <c r="N214" s="205"/>
      <c r="O214" s="205"/>
      <c r="P214" s="205"/>
      <c r="Q214" s="205"/>
      <c r="R214" s="205"/>
      <c r="S214" s="205"/>
      <c r="T214" s="205"/>
      <c r="U214" s="205"/>
    </row>
    <row r="215" spans="1:21">
      <c r="B215" s="444"/>
      <c r="C215" s="445"/>
      <c r="D215" s="445"/>
      <c r="E215" s="445"/>
      <c r="F215" s="445"/>
      <c r="G215" s="445"/>
      <c r="H215" s="445"/>
      <c r="I215" s="445"/>
      <c r="J215" s="445"/>
      <c r="K215" s="445"/>
      <c r="L215" s="445"/>
      <c r="M215" s="445"/>
      <c r="N215" s="445"/>
      <c r="O215" s="445"/>
      <c r="P215" s="445"/>
      <c r="Q215" s="445"/>
      <c r="R215" s="445"/>
      <c r="S215" s="445"/>
      <c r="T215" s="445"/>
      <c r="U215" s="446"/>
    </row>
    <row r="216" spans="1:21">
      <c r="B216" s="447"/>
      <c r="C216" s="448"/>
      <c r="D216" s="448"/>
      <c r="E216" s="448"/>
      <c r="F216" s="448"/>
      <c r="G216" s="448"/>
      <c r="H216" s="448"/>
      <c r="I216" s="448"/>
      <c r="J216" s="448"/>
      <c r="K216" s="448"/>
      <c r="L216" s="448"/>
      <c r="M216" s="448"/>
      <c r="N216" s="448"/>
      <c r="O216" s="448"/>
      <c r="P216" s="448"/>
      <c r="Q216" s="448"/>
      <c r="R216" s="448"/>
      <c r="S216" s="448"/>
      <c r="T216" s="448"/>
      <c r="U216" s="449"/>
    </row>
    <row r="217" spans="1:21">
      <c r="B217" s="447"/>
      <c r="C217" s="448"/>
      <c r="D217" s="448"/>
      <c r="E217" s="448"/>
      <c r="F217" s="448"/>
      <c r="G217" s="448"/>
      <c r="H217" s="448"/>
      <c r="I217" s="448"/>
      <c r="J217" s="448"/>
      <c r="K217" s="448"/>
      <c r="L217" s="448"/>
      <c r="M217" s="448"/>
      <c r="N217" s="448"/>
      <c r="O217" s="448"/>
      <c r="P217" s="448"/>
      <c r="Q217" s="448"/>
      <c r="R217" s="448"/>
      <c r="S217" s="448"/>
      <c r="T217" s="448"/>
      <c r="U217" s="449"/>
    </row>
    <row r="218" spans="1:21">
      <c r="B218" s="447"/>
      <c r="C218" s="448"/>
      <c r="D218" s="448"/>
      <c r="E218" s="448"/>
      <c r="F218" s="448"/>
      <c r="G218" s="448"/>
      <c r="H218" s="448"/>
      <c r="I218" s="448"/>
      <c r="J218" s="448"/>
      <c r="K218" s="448"/>
      <c r="L218" s="448"/>
      <c r="M218" s="448"/>
      <c r="N218" s="448"/>
      <c r="O218" s="448"/>
      <c r="P218" s="448"/>
      <c r="Q218" s="448"/>
      <c r="R218" s="448"/>
      <c r="S218" s="448"/>
      <c r="T218" s="448"/>
      <c r="U218" s="449"/>
    </row>
    <row r="219" spans="1:21">
      <c r="B219" s="447"/>
      <c r="C219" s="448"/>
      <c r="D219" s="448"/>
      <c r="E219" s="448"/>
      <c r="F219" s="448"/>
      <c r="G219" s="448"/>
      <c r="H219" s="448"/>
      <c r="I219" s="448"/>
      <c r="J219" s="448"/>
      <c r="K219" s="448"/>
      <c r="L219" s="448"/>
      <c r="M219" s="448"/>
      <c r="N219" s="448"/>
      <c r="O219" s="448"/>
      <c r="P219" s="448"/>
      <c r="Q219" s="448"/>
      <c r="R219" s="448"/>
      <c r="S219" s="448"/>
      <c r="T219" s="448"/>
      <c r="U219" s="449"/>
    </row>
    <row r="220" spans="1:21">
      <c r="B220" s="447"/>
      <c r="C220" s="448"/>
      <c r="D220" s="448"/>
      <c r="E220" s="448"/>
      <c r="F220" s="448"/>
      <c r="G220" s="448"/>
      <c r="H220" s="448"/>
      <c r="I220" s="448"/>
      <c r="J220" s="448"/>
      <c r="K220" s="448"/>
      <c r="L220" s="448"/>
      <c r="M220" s="448"/>
      <c r="N220" s="448"/>
      <c r="O220" s="448"/>
      <c r="P220" s="448"/>
      <c r="Q220" s="448"/>
      <c r="R220" s="448"/>
      <c r="S220" s="448"/>
      <c r="T220" s="448"/>
      <c r="U220" s="449"/>
    </row>
    <row r="221" spans="1:21" ht="15.75" thickBot="1">
      <c r="B221" s="450"/>
      <c r="C221" s="451"/>
      <c r="D221" s="451"/>
      <c r="E221" s="451"/>
      <c r="F221" s="451"/>
      <c r="G221" s="451"/>
      <c r="H221" s="451"/>
      <c r="I221" s="451"/>
      <c r="J221" s="451"/>
      <c r="K221" s="451"/>
      <c r="L221" s="451"/>
      <c r="M221" s="451"/>
      <c r="N221" s="451"/>
      <c r="O221" s="451"/>
      <c r="P221" s="451"/>
      <c r="Q221" s="451"/>
      <c r="R221" s="451"/>
      <c r="S221" s="451"/>
      <c r="T221" s="451"/>
      <c r="U221" s="452"/>
    </row>
    <row r="222" spans="1:21">
      <c r="B222" s="23"/>
    </row>
    <row r="223" spans="1:21">
      <c r="H223" s="40"/>
      <c r="I223" s="40"/>
      <c r="O223" s="40"/>
      <c r="Q223" s="40"/>
    </row>
    <row r="224" spans="1:21">
      <c r="B224" s="220" t="s">
        <v>38</v>
      </c>
      <c r="C224" s="220"/>
      <c r="D224" s="220"/>
      <c r="E224" s="220"/>
      <c r="F224" s="220"/>
      <c r="G224" s="220"/>
      <c r="I224" s="41"/>
      <c r="J224" s="213" t="s">
        <v>36</v>
      </c>
      <c r="K224" s="213"/>
      <c r="L224" s="213"/>
      <c r="M224" s="213"/>
      <c r="N224" s="213"/>
      <c r="O224" s="213"/>
      <c r="R224" s="213" t="s">
        <v>37</v>
      </c>
      <c r="S224" s="213"/>
      <c r="T224" s="213"/>
      <c r="U224" s="213"/>
    </row>
    <row r="225" spans="2:21">
      <c r="B225" s="220"/>
      <c r="C225" s="220"/>
      <c r="D225" s="220"/>
      <c r="E225" s="220"/>
      <c r="F225" s="220"/>
      <c r="G225" s="220"/>
      <c r="H225" s="42"/>
      <c r="I225" s="42"/>
      <c r="J225" s="221"/>
      <c r="K225" s="221"/>
      <c r="L225" s="221"/>
      <c r="M225" s="221"/>
      <c r="N225" s="221"/>
      <c r="O225" s="221"/>
      <c r="P225" s="42"/>
      <c r="Q225" s="42"/>
      <c r="R225" s="210" t="s">
        <v>0</v>
      </c>
      <c r="S225" s="210"/>
      <c r="T225" s="210"/>
      <c r="U225" s="210"/>
    </row>
    <row r="226" spans="2:21">
      <c r="B226" s="220"/>
      <c r="C226" s="220"/>
      <c r="D226" s="220"/>
      <c r="E226" s="220"/>
      <c r="F226" s="220"/>
      <c r="G226" s="220"/>
      <c r="H226" s="167"/>
      <c r="I226" s="167"/>
      <c r="J226" s="221"/>
      <c r="K226" s="221"/>
      <c r="L226" s="221"/>
      <c r="M226" s="221"/>
      <c r="N226" s="221"/>
      <c r="O226" s="221"/>
      <c r="P226" s="167"/>
      <c r="Q226" s="167"/>
      <c r="R226" s="210"/>
      <c r="S226" s="210"/>
      <c r="T226" s="210"/>
      <c r="U226" s="210"/>
    </row>
    <row r="227" spans="2:21">
      <c r="B227" s="220"/>
      <c r="C227" s="220"/>
      <c r="D227" s="220"/>
      <c r="E227" s="220"/>
      <c r="F227" s="220"/>
      <c r="G227" s="220"/>
      <c r="H227" s="167"/>
      <c r="I227" s="167"/>
      <c r="J227" s="221"/>
      <c r="K227" s="221"/>
      <c r="L227" s="221"/>
      <c r="M227" s="221"/>
      <c r="N227" s="221"/>
      <c r="O227" s="221"/>
      <c r="P227" s="167"/>
      <c r="Q227" s="167"/>
      <c r="R227" s="210"/>
      <c r="S227" s="210"/>
      <c r="T227" s="210"/>
      <c r="U227" s="210"/>
    </row>
    <row r="228" spans="2:21">
      <c r="B228" s="220"/>
      <c r="C228" s="220"/>
      <c r="D228" s="220"/>
      <c r="E228" s="220"/>
      <c r="F228" s="220"/>
      <c r="G228" s="220"/>
      <c r="H228" s="167"/>
      <c r="I228" s="167"/>
      <c r="J228" s="221"/>
      <c r="K228" s="221"/>
      <c r="L228" s="221"/>
      <c r="M228" s="221"/>
      <c r="N228" s="221"/>
      <c r="O228" s="221"/>
      <c r="P228" s="167"/>
      <c r="Q228" s="167"/>
      <c r="R228" s="210"/>
      <c r="S228" s="210"/>
      <c r="T228" s="210"/>
      <c r="U228" s="210"/>
    </row>
    <row r="229" spans="2:21" ht="15.75" thickBot="1">
      <c r="B229" s="223"/>
      <c r="C229" s="223"/>
      <c r="D229" s="223"/>
      <c r="E229" s="223"/>
      <c r="F229" s="223"/>
      <c r="G229" s="223"/>
      <c r="J229" s="222"/>
      <c r="K229" s="222"/>
      <c r="L229" s="222"/>
      <c r="M229" s="222"/>
      <c r="N229" s="222"/>
      <c r="O229" s="222"/>
      <c r="R229" s="205"/>
      <c r="S229" s="205"/>
      <c r="T229" s="205"/>
      <c r="U229" s="205"/>
    </row>
    <row r="230" spans="2:21">
      <c r="B230" s="210" t="s">
        <v>101</v>
      </c>
      <c r="C230" s="210"/>
      <c r="D230" s="210"/>
      <c r="E230" s="210"/>
      <c r="F230" s="210"/>
      <c r="G230" s="210"/>
      <c r="J230" s="204" t="s">
        <v>102</v>
      </c>
      <c r="K230" s="204"/>
      <c r="L230" s="204"/>
      <c r="M230" s="204"/>
      <c r="N230" s="204"/>
      <c r="O230" s="204"/>
      <c r="R230" s="211" t="s">
        <v>136</v>
      </c>
      <c r="S230" s="211"/>
      <c r="T230" s="211"/>
      <c r="U230" s="211"/>
    </row>
    <row r="231" spans="2:21">
      <c r="B231" s="204" t="s">
        <v>103</v>
      </c>
      <c r="C231" s="204"/>
      <c r="D231" s="204"/>
      <c r="E231" s="204"/>
      <c r="F231" s="204"/>
      <c r="G231" s="204"/>
      <c r="J231" s="212" t="s">
        <v>104</v>
      </c>
      <c r="K231" s="212"/>
      <c r="L231" s="212"/>
      <c r="M231" s="212"/>
      <c r="N231" s="212"/>
      <c r="O231" s="212"/>
      <c r="P231" s="118"/>
      <c r="Q231" s="118"/>
      <c r="R231" s="212" t="s">
        <v>105</v>
      </c>
      <c r="S231" s="212"/>
      <c r="T231" s="212"/>
      <c r="U231" s="212"/>
    </row>
    <row r="233" spans="2:21">
      <c r="J233" s="213" t="s">
        <v>50</v>
      </c>
      <c r="K233" s="213"/>
      <c r="L233" s="213"/>
      <c r="M233" s="213"/>
      <c r="N233" s="213"/>
      <c r="O233" s="213"/>
    </row>
    <row r="234" spans="2:21">
      <c r="C234" s="214" t="s">
        <v>157</v>
      </c>
      <c r="D234" s="214"/>
      <c r="E234" s="214"/>
      <c r="F234" s="214"/>
      <c r="J234" s="206" t="s">
        <v>48</v>
      </c>
      <c r="K234" s="206"/>
      <c r="L234" s="206"/>
      <c r="M234" s="206"/>
      <c r="N234" s="206"/>
      <c r="O234" s="206"/>
      <c r="R234" s="206" t="s">
        <v>51</v>
      </c>
      <c r="S234" s="206"/>
      <c r="T234" s="206"/>
      <c r="U234" s="206"/>
    </row>
    <row r="235" spans="2:21">
      <c r="B235" s="204"/>
      <c r="C235" s="204"/>
      <c r="D235" s="204"/>
      <c r="E235" s="204"/>
      <c r="F235" s="204"/>
      <c r="G235" s="204"/>
      <c r="J235" s="206"/>
      <c r="K235" s="206"/>
      <c r="L235" s="206"/>
      <c r="M235" s="206"/>
      <c r="N235" s="206"/>
      <c r="O235" s="206"/>
      <c r="R235" s="204"/>
      <c r="S235" s="204"/>
      <c r="T235" s="204"/>
      <c r="U235" s="204"/>
    </row>
    <row r="236" spans="2:21">
      <c r="B236" s="204"/>
      <c r="C236" s="204"/>
      <c r="D236" s="204"/>
      <c r="E236" s="204"/>
      <c r="F236" s="204"/>
      <c r="G236" s="204"/>
      <c r="J236" s="206"/>
      <c r="K236" s="206"/>
      <c r="L236" s="206"/>
      <c r="M236" s="206"/>
      <c r="N236" s="206"/>
      <c r="O236" s="206"/>
      <c r="R236" s="204"/>
      <c r="S236" s="204"/>
      <c r="T236" s="204"/>
      <c r="U236" s="204"/>
    </row>
    <row r="237" spans="2:21">
      <c r="B237" s="204"/>
      <c r="C237" s="204"/>
      <c r="D237" s="204"/>
      <c r="E237" s="204"/>
      <c r="F237" s="204"/>
      <c r="G237" s="204"/>
      <c r="J237" s="206"/>
      <c r="K237" s="206"/>
      <c r="L237" s="206"/>
      <c r="M237" s="206"/>
      <c r="N237" s="206"/>
      <c r="O237" s="206"/>
      <c r="R237" s="204"/>
      <c r="S237" s="204"/>
      <c r="T237" s="204"/>
      <c r="U237" s="204"/>
    </row>
    <row r="238" spans="2:21" ht="15.75" thickBot="1">
      <c r="B238" s="205"/>
      <c r="C238" s="205"/>
      <c r="D238" s="205"/>
      <c r="E238" s="205"/>
      <c r="F238" s="205"/>
      <c r="G238" s="205"/>
      <c r="H238" s="51"/>
      <c r="I238" s="51"/>
      <c r="J238" s="207"/>
      <c r="K238" s="207"/>
      <c r="L238" s="207"/>
      <c r="M238" s="207"/>
      <c r="N238" s="207"/>
      <c r="O238" s="207"/>
      <c r="P238" s="51"/>
      <c r="Q238" s="51"/>
      <c r="R238" s="205"/>
      <c r="S238" s="205"/>
      <c r="T238" s="205"/>
      <c r="U238" s="205"/>
    </row>
    <row r="239" spans="2:21">
      <c r="B239" s="208" t="s">
        <v>106</v>
      </c>
      <c r="C239" s="208"/>
      <c r="D239" s="208"/>
      <c r="E239" s="208"/>
      <c r="F239" s="208"/>
      <c r="G239" s="208"/>
      <c r="H239" s="119"/>
      <c r="I239" s="119"/>
      <c r="J239" s="208" t="s">
        <v>107</v>
      </c>
      <c r="K239" s="208"/>
      <c r="L239" s="208"/>
      <c r="M239" s="208"/>
      <c r="N239" s="208"/>
      <c r="O239" s="208"/>
      <c r="P239" s="51"/>
      <c r="Q239" s="51"/>
      <c r="R239" s="208" t="s">
        <v>108</v>
      </c>
      <c r="S239" s="208"/>
      <c r="T239" s="208"/>
      <c r="U239" s="208"/>
    </row>
    <row r="240" spans="2:21" ht="32.25" customHeight="1">
      <c r="B240" s="209" t="s">
        <v>109</v>
      </c>
      <c r="C240" s="209"/>
      <c r="D240" s="209"/>
      <c r="E240" s="209"/>
      <c r="F240" s="209"/>
      <c r="G240" s="209"/>
      <c r="J240" s="209" t="s">
        <v>110</v>
      </c>
      <c r="K240" s="209"/>
      <c r="L240" s="209"/>
      <c r="M240" s="209"/>
      <c r="N240" s="209"/>
      <c r="O240" s="209"/>
      <c r="R240" s="209" t="s">
        <v>111</v>
      </c>
      <c r="S240" s="209"/>
      <c r="T240" s="209"/>
      <c r="U240" s="209"/>
    </row>
    <row r="242" spans="1:21" ht="23.25">
      <c r="B242" s="426" t="s">
        <v>114</v>
      </c>
      <c r="C242" s="426"/>
      <c r="D242" s="426"/>
      <c r="E242" s="426"/>
      <c r="F242" s="426"/>
      <c r="G242" s="426"/>
      <c r="H242" s="426"/>
      <c r="I242" s="426"/>
      <c r="J242" s="426"/>
      <c r="K242" s="426"/>
      <c r="L242" s="426"/>
      <c r="M242" s="426"/>
      <c r="N242" s="426"/>
      <c r="O242" s="426"/>
      <c r="P242" s="426"/>
      <c r="Q242" s="426"/>
      <c r="R242" s="426"/>
      <c r="S242" s="426"/>
      <c r="T242" s="426"/>
      <c r="U242" s="426"/>
    </row>
    <row r="244" spans="1:21" ht="15" customHeight="1"/>
    <row r="245" spans="1:21" ht="15" customHeight="1">
      <c r="F245" s="1"/>
      <c r="G245" s="1"/>
      <c r="H245" s="1"/>
      <c r="I245" s="1"/>
      <c r="J245" s="1"/>
      <c r="K245" s="1"/>
      <c r="L245" s="1"/>
      <c r="M245" s="1"/>
      <c r="N245" s="1"/>
      <c r="O245" s="1"/>
    </row>
    <row r="246" spans="1:21" ht="15" customHeight="1">
      <c r="F246" s="1"/>
      <c r="G246" s="1"/>
      <c r="H246" s="1"/>
      <c r="I246" s="1"/>
      <c r="J246" s="1"/>
      <c r="K246" s="1"/>
      <c r="L246" s="1"/>
      <c r="M246" s="1"/>
      <c r="N246" s="1"/>
      <c r="O246" s="1"/>
    </row>
    <row r="247" spans="1:21" ht="15" customHeight="1">
      <c r="B247" s="427" t="s">
        <v>135</v>
      </c>
      <c r="C247" s="427"/>
      <c r="D247" s="427"/>
      <c r="E247" s="427"/>
      <c r="F247" s="427"/>
      <c r="G247" s="427"/>
      <c r="H247" s="427"/>
      <c r="I247" s="427"/>
      <c r="J247" s="427"/>
      <c r="K247" s="427"/>
      <c r="L247" s="427"/>
      <c r="M247" s="427"/>
      <c r="N247" s="427"/>
      <c r="O247" s="427"/>
      <c r="P247" s="427"/>
      <c r="Q247" s="427"/>
      <c r="R247" s="427"/>
      <c r="S247" s="427"/>
      <c r="T247" s="427"/>
      <c r="U247" s="427"/>
    </row>
    <row r="248" spans="1:21" ht="15" customHeight="1">
      <c r="F248" t="s">
        <v>0</v>
      </c>
    </row>
    <row r="249" spans="1:21" ht="15" customHeight="1">
      <c r="B249" s="2"/>
      <c r="C249" s="2"/>
      <c r="D249" s="2"/>
      <c r="E249" s="2"/>
      <c r="F249" s="2"/>
      <c r="G249" s="2"/>
      <c r="H249" s="2"/>
      <c r="I249" s="2"/>
      <c r="J249" s="2"/>
      <c r="K249" s="2"/>
      <c r="L249" s="2"/>
      <c r="M249" s="2"/>
      <c r="N249" s="2"/>
      <c r="O249" s="2"/>
      <c r="P249" s="2"/>
      <c r="Q249" s="2"/>
      <c r="R249" s="2"/>
      <c r="S249" s="2"/>
      <c r="T249" s="2"/>
      <c r="U249" s="2"/>
    </row>
    <row r="250" spans="1:21" ht="15" customHeight="1" thickBot="1">
      <c r="B250" s="3"/>
      <c r="C250" s="3"/>
      <c r="D250" s="3"/>
      <c r="E250" s="3"/>
      <c r="F250" s="3"/>
      <c r="G250" s="3"/>
      <c r="H250" s="3"/>
      <c r="I250" s="3"/>
      <c r="J250" s="3"/>
      <c r="K250" s="3"/>
      <c r="L250" s="3"/>
      <c r="M250" s="3"/>
      <c r="N250" s="3"/>
      <c r="O250" s="3"/>
      <c r="P250" s="3"/>
      <c r="Q250" s="3"/>
      <c r="R250" s="3"/>
      <c r="S250" s="3"/>
      <c r="T250" s="3"/>
      <c r="U250" s="3"/>
    </row>
    <row r="251" spans="1:21" ht="15" customHeight="1">
      <c r="B251" s="385" t="s">
        <v>1</v>
      </c>
      <c r="C251" s="386"/>
      <c r="D251" s="386"/>
      <c r="E251" s="386"/>
      <c r="F251" s="387"/>
      <c r="G251" s="428" t="s">
        <v>164</v>
      </c>
      <c r="H251" s="429"/>
      <c r="I251" s="429"/>
      <c r="J251" s="429"/>
      <c r="K251" s="429"/>
      <c r="L251" s="429"/>
      <c r="M251" s="429"/>
      <c r="N251" s="429"/>
      <c r="O251" s="429"/>
      <c r="P251" s="429"/>
      <c r="Q251" s="429"/>
      <c r="R251" s="429"/>
      <c r="S251" s="429"/>
      <c r="T251" s="429"/>
      <c r="U251" s="430"/>
    </row>
    <row r="252" spans="1:21" ht="15" customHeight="1">
      <c r="A252" s="4"/>
      <c r="B252" s="431" t="s">
        <v>2</v>
      </c>
      <c r="C252" s="432"/>
      <c r="D252" s="432"/>
      <c r="E252" s="432"/>
      <c r="F252" s="433"/>
      <c r="G252" s="434" t="s">
        <v>163</v>
      </c>
      <c r="H252" s="435"/>
      <c r="I252" s="435"/>
      <c r="J252" s="435"/>
      <c r="K252" s="435"/>
      <c r="L252" s="435"/>
      <c r="M252" s="435"/>
      <c r="N252" s="435"/>
      <c r="O252" s="435"/>
      <c r="P252" s="435"/>
      <c r="Q252" s="435"/>
      <c r="R252" s="435"/>
      <c r="S252" s="435"/>
      <c r="T252" s="435"/>
      <c r="U252" s="436"/>
    </row>
    <row r="253" spans="1:21" ht="15" customHeight="1">
      <c r="A253" s="4"/>
      <c r="B253" s="385" t="s">
        <v>3</v>
      </c>
      <c r="C253" s="386"/>
      <c r="D253" s="386"/>
      <c r="E253" s="386"/>
      <c r="F253" s="387"/>
      <c r="G253" s="437" t="s">
        <v>156</v>
      </c>
      <c r="H253" s="438"/>
      <c r="I253" s="438"/>
      <c r="J253" s="438"/>
      <c r="K253" s="438"/>
      <c r="L253" s="438"/>
      <c r="M253" s="438"/>
      <c r="N253" s="438"/>
      <c r="O253" s="438"/>
      <c r="P253" s="438"/>
      <c r="Q253" s="438"/>
      <c r="R253" s="438"/>
      <c r="S253" s="438"/>
      <c r="T253" s="438"/>
      <c r="U253" s="439"/>
    </row>
    <row r="254" spans="1:21" ht="15" customHeight="1">
      <c r="A254" s="4"/>
      <c r="B254" s="385" t="s">
        <v>4</v>
      </c>
      <c r="C254" s="386"/>
      <c r="D254" s="386"/>
      <c r="E254" s="386"/>
      <c r="F254" s="387"/>
      <c r="G254" s="440" t="s">
        <v>165</v>
      </c>
      <c r="H254" s="441"/>
      <c r="I254" s="441"/>
      <c r="J254" s="441"/>
      <c r="K254" s="441"/>
      <c r="L254" s="441"/>
      <c r="M254" s="441"/>
      <c r="N254" s="441"/>
      <c r="O254" s="441"/>
      <c r="P254" s="441"/>
      <c r="Q254" s="441"/>
      <c r="R254" s="441"/>
      <c r="S254" s="441"/>
      <c r="T254" s="441"/>
      <c r="U254" s="442"/>
    </row>
    <row r="255" spans="1:21" ht="15" customHeight="1">
      <c r="A255" s="4"/>
      <c r="B255" s="385" t="s">
        <v>5</v>
      </c>
      <c r="C255" s="386"/>
      <c r="D255" s="386"/>
      <c r="E255" s="386"/>
      <c r="F255" s="387"/>
      <c r="G255" s="410" t="s">
        <v>6</v>
      </c>
      <c r="H255" s="411"/>
      <c r="I255" s="412">
        <v>779836</v>
      </c>
      <c r="J255" s="413"/>
      <c r="K255" s="413"/>
      <c r="L255" s="414"/>
      <c r="M255" s="5" t="s">
        <v>7</v>
      </c>
      <c r="N255" s="412">
        <v>0</v>
      </c>
      <c r="O255" s="413"/>
      <c r="P255" s="413"/>
      <c r="Q255" s="414"/>
      <c r="R255" s="415" t="s">
        <v>8</v>
      </c>
      <c r="S255" s="416"/>
      <c r="T255" s="412">
        <v>0</v>
      </c>
      <c r="U255" s="417"/>
    </row>
    <row r="256" spans="1:21">
      <c r="A256" s="4"/>
      <c r="B256" s="385" t="s">
        <v>9</v>
      </c>
      <c r="C256" s="386"/>
      <c r="D256" s="386"/>
      <c r="E256" s="386"/>
      <c r="F256" s="387"/>
      <c r="G256" s="418" t="s">
        <v>6</v>
      </c>
      <c r="H256" s="419"/>
      <c r="I256" s="412">
        <v>779836</v>
      </c>
      <c r="J256" s="413"/>
      <c r="K256" s="413"/>
      <c r="L256" s="414"/>
      <c r="M256" s="5" t="s">
        <v>7</v>
      </c>
      <c r="N256" s="420">
        <v>0</v>
      </c>
      <c r="O256" s="421"/>
      <c r="P256" s="421"/>
      <c r="Q256" s="422"/>
      <c r="R256" s="423"/>
      <c r="S256" s="424"/>
      <c r="T256" s="424"/>
      <c r="U256" s="425"/>
    </row>
    <row r="257" spans="1:31" ht="15.75" thickBot="1">
      <c r="A257" s="4"/>
      <c r="B257" s="385" t="s">
        <v>10</v>
      </c>
      <c r="C257" s="386"/>
      <c r="D257" s="386"/>
      <c r="E257" s="386"/>
      <c r="F257" s="387"/>
      <c r="G257" s="460" t="s">
        <v>128</v>
      </c>
      <c r="H257" s="461"/>
      <c r="I257" s="461"/>
      <c r="J257" s="461"/>
      <c r="K257" s="461"/>
      <c r="L257" s="461"/>
      <c r="M257" s="461"/>
      <c r="N257" s="461"/>
      <c r="O257" s="461"/>
      <c r="P257" s="461"/>
      <c r="Q257" s="461"/>
      <c r="R257" s="461"/>
      <c r="S257" s="461"/>
      <c r="T257" s="461"/>
      <c r="U257" s="462"/>
    </row>
    <row r="258" spans="1:31" ht="15.75" customHeight="1" thickBot="1">
      <c r="A258" s="4"/>
      <c r="B258" s="391" t="s">
        <v>11</v>
      </c>
      <c r="C258" s="392"/>
      <c r="D258" s="392"/>
      <c r="E258" s="392"/>
      <c r="F258" s="393"/>
      <c r="G258" s="394" t="s">
        <v>118</v>
      </c>
      <c r="H258" s="395"/>
      <c r="I258" s="395"/>
      <c r="J258" s="395"/>
      <c r="K258" s="395"/>
      <c r="L258" s="395"/>
      <c r="M258" s="395"/>
      <c r="N258" s="395"/>
      <c r="O258" s="395"/>
      <c r="P258" s="395"/>
      <c r="Q258" s="395"/>
      <c r="R258" s="395"/>
      <c r="S258" s="395"/>
      <c r="T258" s="395"/>
      <c r="U258" s="396"/>
    </row>
    <row r="259" spans="1:31" ht="15.75" thickBot="1">
      <c r="B259" s="397"/>
      <c r="C259" s="397"/>
      <c r="D259" s="397"/>
      <c r="E259" s="397"/>
      <c r="F259" s="397"/>
      <c r="G259" s="397"/>
      <c r="H259" s="397"/>
      <c r="I259" s="397"/>
      <c r="J259" s="397"/>
      <c r="K259" s="397"/>
      <c r="L259" s="397"/>
      <c r="M259" s="397"/>
      <c r="N259" s="397"/>
      <c r="O259" s="397"/>
      <c r="P259" s="397"/>
      <c r="Q259" s="397"/>
      <c r="R259" s="397"/>
      <c r="S259" s="397"/>
      <c r="T259" s="397"/>
      <c r="U259" s="397"/>
    </row>
    <row r="260" spans="1:31" ht="16.5" thickBot="1">
      <c r="A260" s="4"/>
      <c r="B260" s="306" t="s">
        <v>12</v>
      </c>
      <c r="C260" s="307"/>
      <c r="D260" s="308"/>
      <c r="E260" s="307" t="s">
        <v>13</v>
      </c>
      <c r="F260" s="308"/>
      <c r="G260" s="312" t="s">
        <v>14</v>
      </c>
      <c r="H260" s="313"/>
      <c r="I260" s="313"/>
      <c r="J260" s="313"/>
      <c r="K260" s="313"/>
      <c r="L260" s="313"/>
      <c r="M260" s="313"/>
      <c r="N260" s="313"/>
      <c r="O260" s="313"/>
      <c r="P260" s="313"/>
      <c r="Q260" s="313"/>
      <c r="R260" s="313"/>
      <c r="S260" s="313"/>
      <c r="T260" s="313"/>
      <c r="U260" s="314"/>
    </row>
    <row r="261" spans="1:31" ht="15.75" customHeight="1" thickBot="1">
      <c r="A261" s="4"/>
      <c r="B261" s="309"/>
      <c r="C261" s="310"/>
      <c r="D261" s="311"/>
      <c r="E261" s="310"/>
      <c r="F261" s="311"/>
      <c r="G261" s="315" t="s">
        <v>15</v>
      </c>
      <c r="H261" s="316"/>
      <c r="I261" s="267" t="s">
        <v>120</v>
      </c>
      <c r="J261" s="268"/>
      <c r="K261" s="268"/>
      <c r="L261" s="268"/>
      <c r="M261" s="268"/>
      <c r="N261" s="269"/>
      <c r="O261" s="403" t="s">
        <v>121</v>
      </c>
      <c r="P261" s="404"/>
      <c r="Q261" s="404"/>
      <c r="R261" s="404"/>
      <c r="S261" s="404"/>
      <c r="T261" s="404"/>
      <c r="U261" s="405"/>
    </row>
    <row r="262" spans="1:31">
      <c r="A262" s="4"/>
      <c r="B262" s="309"/>
      <c r="C262" s="310"/>
      <c r="D262" s="311"/>
      <c r="E262" s="310"/>
      <c r="F262" s="311"/>
      <c r="G262" s="317"/>
      <c r="H262" s="318"/>
      <c r="I262" s="315" t="s">
        <v>18</v>
      </c>
      <c r="J262" s="406"/>
      <c r="K262" s="406"/>
      <c r="L262" s="315" t="s">
        <v>19</v>
      </c>
      <c r="M262" s="406"/>
      <c r="N262" s="316"/>
      <c r="O262" s="408" t="s">
        <v>18</v>
      </c>
      <c r="P262" s="409"/>
      <c r="Q262" s="409"/>
      <c r="R262" s="315" t="s">
        <v>19</v>
      </c>
      <c r="S262" s="406"/>
      <c r="T262" s="406"/>
      <c r="U262" s="326" t="s">
        <v>20</v>
      </c>
      <c r="V262" s="200" t="s">
        <v>158</v>
      </c>
      <c r="W262" s="201"/>
      <c r="X262" s="200" t="s">
        <v>159</v>
      </c>
      <c r="Y262" s="201"/>
      <c r="Z262" s="200" t="s">
        <v>161</v>
      </c>
      <c r="AA262" s="201"/>
      <c r="AB262" s="200" t="s">
        <v>160</v>
      </c>
      <c r="AC262" s="201"/>
      <c r="AD262" s="200" t="s">
        <v>162</v>
      </c>
      <c r="AE262" s="201"/>
    </row>
    <row r="263" spans="1:31" ht="15.75" thickBot="1">
      <c r="A263" s="4"/>
      <c r="B263" s="398"/>
      <c r="C263" s="399"/>
      <c r="D263" s="400"/>
      <c r="E263" s="399"/>
      <c r="F263" s="400"/>
      <c r="G263" s="401"/>
      <c r="H263" s="402"/>
      <c r="I263" s="401"/>
      <c r="J263" s="407"/>
      <c r="K263" s="407"/>
      <c r="L263" s="401"/>
      <c r="M263" s="407"/>
      <c r="N263" s="402"/>
      <c r="O263" s="401"/>
      <c r="P263" s="407"/>
      <c r="Q263" s="407"/>
      <c r="R263" s="401"/>
      <c r="S263" s="407"/>
      <c r="T263" s="407"/>
      <c r="U263" s="327"/>
      <c r="V263" s="202"/>
      <c r="W263" s="203"/>
      <c r="X263" s="202"/>
      <c r="Y263" s="203"/>
      <c r="Z263" s="202"/>
      <c r="AA263" s="203"/>
      <c r="AB263" s="202"/>
      <c r="AC263" s="203"/>
      <c r="AD263" s="202"/>
      <c r="AE263" s="203"/>
    </row>
    <row r="264" spans="1:31">
      <c r="A264" s="4"/>
      <c r="B264" s="372" t="s">
        <v>59</v>
      </c>
      <c r="C264" s="373"/>
      <c r="D264" s="374"/>
      <c r="E264" s="375"/>
      <c r="F264" s="376"/>
      <c r="G264" s="377"/>
      <c r="H264" s="378"/>
      <c r="I264" s="379"/>
      <c r="J264" s="380"/>
      <c r="K264" s="378"/>
      <c r="L264" s="381"/>
      <c r="M264" s="380"/>
      <c r="N264" s="382"/>
      <c r="O264" s="383"/>
      <c r="P264" s="384"/>
      <c r="Q264" s="384"/>
      <c r="R264" s="384"/>
      <c r="S264" s="384"/>
      <c r="T264" s="384"/>
      <c r="U264" s="53"/>
    </row>
    <row r="265" spans="1:31">
      <c r="A265" s="4"/>
      <c r="B265" s="354" t="s">
        <v>76</v>
      </c>
      <c r="C265" s="362"/>
      <c r="D265" s="363"/>
      <c r="E265" s="364"/>
      <c r="F265" s="365"/>
      <c r="G265" s="366"/>
      <c r="H265" s="367"/>
      <c r="I265" s="371"/>
      <c r="J265" s="370"/>
      <c r="K265" s="370"/>
      <c r="L265" s="370"/>
      <c r="M265" s="370"/>
      <c r="N265" s="365"/>
      <c r="O265" s="371"/>
      <c r="P265" s="370"/>
      <c r="Q265" s="370"/>
      <c r="R265" s="370"/>
      <c r="S265" s="370"/>
      <c r="T265" s="370"/>
      <c r="U265" s="138"/>
    </row>
    <row r="266" spans="1:31">
      <c r="A266" s="4"/>
      <c r="B266" s="328" t="s">
        <v>56</v>
      </c>
      <c r="C266" s="329"/>
      <c r="D266" s="330"/>
      <c r="E266" s="331" t="s">
        <v>58</v>
      </c>
      <c r="F266" s="332"/>
      <c r="G266" s="348">
        <v>170</v>
      </c>
      <c r="H266" s="359"/>
      <c r="I266" s="350">
        <v>0</v>
      </c>
      <c r="J266" s="351"/>
      <c r="K266" s="349"/>
      <c r="L266" s="350">
        <v>0</v>
      </c>
      <c r="M266" s="351"/>
      <c r="N266" s="352"/>
      <c r="O266" s="353">
        <v>170</v>
      </c>
      <c r="P266" s="351"/>
      <c r="Q266" s="349"/>
      <c r="R266" s="350">
        <v>170</v>
      </c>
      <c r="S266" s="351"/>
      <c r="T266" s="349"/>
      <c r="U266" s="6">
        <f t="shared" ref="U266" si="57">R266/G266</f>
        <v>1</v>
      </c>
      <c r="V266" s="193">
        <f>+'Mensual VEME2019'!I747+'Mensual VEME2019'!I868+'Mensual VEME2019'!I990</f>
        <v>0</v>
      </c>
      <c r="W266" s="193">
        <f>+I266-V266</f>
        <v>0</v>
      </c>
      <c r="X266" s="193">
        <f>+'Mensual VEME2019'!L747+'Mensual VEME2019'!L868+'Mensual VEME2019'!L990</f>
        <v>0</v>
      </c>
      <c r="Y266" s="193">
        <f>+L266-X266</f>
        <v>0</v>
      </c>
      <c r="Z266" s="193">
        <f>+I266+O146</f>
        <v>170</v>
      </c>
      <c r="AA266" s="193">
        <f>+O266-Z266</f>
        <v>0</v>
      </c>
      <c r="AB266" s="193">
        <f>+L266+R146</f>
        <v>170</v>
      </c>
      <c r="AC266" s="193">
        <f>+R266-AB266</f>
        <v>0</v>
      </c>
      <c r="AD266" s="195">
        <f>+AB266/G266</f>
        <v>1</v>
      </c>
      <c r="AE266" s="194">
        <f>+U266-AD266</f>
        <v>0</v>
      </c>
    </row>
    <row r="267" spans="1:31">
      <c r="A267" s="4"/>
      <c r="B267" s="328" t="s">
        <v>57</v>
      </c>
      <c r="C267" s="329"/>
      <c r="D267" s="330"/>
      <c r="E267" s="331" t="s">
        <v>58</v>
      </c>
      <c r="F267" s="332"/>
      <c r="G267" s="348">
        <v>4405</v>
      </c>
      <c r="H267" s="349"/>
      <c r="I267" s="350">
        <v>1075</v>
      </c>
      <c r="J267" s="351"/>
      <c r="K267" s="349"/>
      <c r="L267" s="350">
        <v>1075</v>
      </c>
      <c r="M267" s="351"/>
      <c r="N267" s="352"/>
      <c r="O267" s="353">
        <f>340+340+340+417+418+340+340+340+395</f>
        <v>3270</v>
      </c>
      <c r="P267" s="351"/>
      <c r="Q267" s="349"/>
      <c r="R267" s="350">
        <f>339+339+338+420+340+268+340+340+395</f>
        <v>3119</v>
      </c>
      <c r="S267" s="351"/>
      <c r="T267" s="349"/>
      <c r="U267" s="54">
        <f>R267/G267</f>
        <v>0.70805902383654939</v>
      </c>
      <c r="V267" s="193">
        <f>+'Mensual VEME2019'!I748+'Mensual VEME2019'!I869+'Mensual VEME2019'!I991</f>
        <v>1075</v>
      </c>
      <c r="W267" s="193">
        <f>+I267-V267</f>
        <v>0</v>
      </c>
      <c r="X267" s="193">
        <f>+'Mensual VEME2019'!L748+'Mensual VEME2019'!L869+'Mensual VEME2019'!L991</f>
        <v>1075</v>
      </c>
      <c r="Y267" s="193">
        <f>+L267-X267</f>
        <v>0</v>
      </c>
      <c r="Z267" s="193">
        <f>+I267+O147</f>
        <v>3270</v>
      </c>
      <c r="AA267" s="193">
        <f>+O267-Z267</f>
        <v>0</v>
      </c>
      <c r="AB267" s="193">
        <f>+L267+R147</f>
        <v>3119</v>
      </c>
      <c r="AC267" s="193">
        <f>+R267-AB267</f>
        <v>0</v>
      </c>
      <c r="AD267" s="195">
        <f>+AB267/G267</f>
        <v>0.70805902383654939</v>
      </c>
      <c r="AE267" s="194">
        <f>+U267-AD267</f>
        <v>0</v>
      </c>
    </row>
    <row r="268" spans="1:31" ht="15" customHeight="1">
      <c r="A268" s="4"/>
      <c r="B268" s="354" t="s">
        <v>77</v>
      </c>
      <c r="C268" s="362"/>
      <c r="D268" s="363"/>
      <c r="E268" s="364"/>
      <c r="F268" s="365"/>
      <c r="G268" s="366"/>
      <c r="H268" s="367"/>
      <c r="I268" s="371"/>
      <c r="J268" s="370"/>
      <c r="K268" s="370"/>
      <c r="L268" s="370"/>
      <c r="M268" s="370"/>
      <c r="N268" s="365"/>
      <c r="O268" s="371"/>
      <c r="P268" s="370"/>
      <c r="Q268" s="370"/>
      <c r="R268" s="370"/>
      <c r="S268" s="370"/>
      <c r="T268" s="370"/>
      <c r="U268" s="138"/>
    </row>
    <row r="269" spans="1:31">
      <c r="A269" s="4"/>
      <c r="B269" s="328" t="s">
        <v>56</v>
      </c>
      <c r="C269" s="329"/>
      <c r="D269" s="330"/>
      <c r="E269" s="331" t="s">
        <v>58</v>
      </c>
      <c r="F269" s="332"/>
      <c r="G269" s="348">
        <v>35</v>
      </c>
      <c r="H269" s="359"/>
      <c r="I269" s="350">
        <v>0</v>
      </c>
      <c r="J269" s="351"/>
      <c r="K269" s="349"/>
      <c r="L269" s="350">
        <v>0</v>
      </c>
      <c r="M269" s="351"/>
      <c r="N269" s="352"/>
      <c r="O269" s="353">
        <v>35</v>
      </c>
      <c r="P269" s="351"/>
      <c r="Q269" s="349"/>
      <c r="R269" s="350">
        <v>35</v>
      </c>
      <c r="S269" s="351"/>
      <c r="T269" s="349"/>
      <c r="U269" s="6">
        <f t="shared" ref="U269" si="58">R269/G269</f>
        <v>1</v>
      </c>
      <c r="V269" s="193">
        <f>+'Mensual VEME2019'!I750+'Mensual VEME2019'!I871+'Mensual VEME2019'!I993</f>
        <v>0</v>
      </c>
      <c r="W269" s="193">
        <f t="shared" ref="W269:W270" si="59">+I269-V269</f>
        <v>0</v>
      </c>
      <c r="X269" s="193">
        <f>+'Mensual VEME2019'!L750+'Mensual VEME2019'!L871+'Mensual VEME2019'!L993</f>
        <v>0</v>
      </c>
      <c r="Y269" s="193">
        <f t="shared" ref="Y269:Y270" si="60">+L269-X269</f>
        <v>0</v>
      </c>
      <c r="Z269" s="193">
        <f t="shared" ref="Z269:Z270" si="61">+I269+O149</f>
        <v>35</v>
      </c>
      <c r="AA269" s="193">
        <f t="shared" ref="AA269:AA270" si="62">+O269-Z269</f>
        <v>0</v>
      </c>
      <c r="AB269" s="193">
        <f t="shared" ref="AB269:AB270" si="63">+L269+R149</f>
        <v>35</v>
      </c>
      <c r="AC269" s="193">
        <f t="shared" ref="AC269:AC270" si="64">+R269-AB269</f>
        <v>0</v>
      </c>
      <c r="AD269" s="195">
        <f t="shared" ref="AD269:AD270" si="65">+AB269/G269</f>
        <v>1</v>
      </c>
      <c r="AE269" s="194">
        <f t="shared" ref="AE269:AE270" si="66">+U269-AD269</f>
        <v>0</v>
      </c>
    </row>
    <row r="270" spans="1:31">
      <c r="A270" s="4"/>
      <c r="B270" s="328" t="s">
        <v>57</v>
      </c>
      <c r="C270" s="329"/>
      <c r="D270" s="330"/>
      <c r="E270" s="331" t="s">
        <v>58</v>
      </c>
      <c r="F270" s="332"/>
      <c r="G270" s="348">
        <v>907</v>
      </c>
      <c r="H270" s="349"/>
      <c r="I270" s="360">
        <v>224</v>
      </c>
      <c r="J270" s="341"/>
      <c r="K270" s="361"/>
      <c r="L270" s="350">
        <v>224</v>
      </c>
      <c r="M270" s="351"/>
      <c r="N270" s="352"/>
      <c r="O270" s="353">
        <f>70+70+70+88+84+70+70+70+84</f>
        <v>676</v>
      </c>
      <c r="P270" s="351"/>
      <c r="Q270" s="349"/>
      <c r="R270" s="350">
        <f>70+70+70+88+69+55+70+70+84</f>
        <v>646</v>
      </c>
      <c r="S270" s="351"/>
      <c r="T270" s="349"/>
      <c r="U270" s="54">
        <f>R270/G270</f>
        <v>0.71223814773980154</v>
      </c>
      <c r="V270" s="193">
        <f>+'Mensual VEME2019'!I751+'Mensual VEME2019'!I872+'Mensual VEME2019'!I994</f>
        <v>224</v>
      </c>
      <c r="W270" s="193">
        <f t="shared" si="59"/>
        <v>0</v>
      </c>
      <c r="X270" s="193">
        <f>+'Mensual VEME2019'!L751+'Mensual VEME2019'!L872+'Mensual VEME2019'!L994</f>
        <v>224</v>
      </c>
      <c r="Y270" s="193">
        <f t="shared" si="60"/>
        <v>0</v>
      </c>
      <c r="Z270" s="193">
        <f t="shared" si="61"/>
        <v>676</v>
      </c>
      <c r="AA270" s="193">
        <f t="shared" si="62"/>
        <v>0</v>
      </c>
      <c r="AB270" s="193">
        <f t="shared" si="63"/>
        <v>646</v>
      </c>
      <c r="AC270" s="193">
        <f t="shared" si="64"/>
        <v>0</v>
      </c>
      <c r="AD270" s="195">
        <f t="shared" si="65"/>
        <v>0.71223814773980154</v>
      </c>
      <c r="AE270" s="194">
        <f t="shared" si="66"/>
        <v>0</v>
      </c>
    </row>
    <row r="271" spans="1:31" ht="15" customHeight="1">
      <c r="A271" s="4"/>
      <c r="B271" s="354" t="s">
        <v>78</v>
      </c>
      <c r="C271" s="362"/>
      <c r="D271" s="363"/>
      <c r="E271" s="364"/>
      <c r="F271" s="365"/>
      <c r="G271" s="366"/>
      <c r="H271" s="367"/>
      <c r="I271" s="368"/>
      <c r="J271" s="369"/>
      <c r="K271" s="369"/>
      <c r="L271" s="370"/>
      <c r="M271" s="370"/>
      <c r="N271" s="365"/>
      <c r="O271" s="371"/>
      <c r="P271" s="370"/>
      <c r="Q271" s="370"/>
      <c r="R271" s="370"/>
      <c r="S271" s="370"/>
      <c r="T271" s="370"/>
      <c r="U271" s="138"/>
    </row>
    <row r="272" spans="1:31">
      <c r="A272" s="4"/>
      <c r="B272" s="328" t="s">
        <v>56</v>
      </c>
      <c r="C272" s="329"/>
      <c r="D272" s="330"/>
      <c r="E272" s="331" t="s">
        <v>58</v>
      </c>
      <c r="F272" s="332"/>
      <c r="G272" s="348">
        <v>35</v>
      </c>
      <c r="H272" s="359"/>
      <c r="I272" s="360">
        <v>0</v>
      </c>
      <c r="J272" s="341"/>
      <c r="K272" s="361"/>
      <c r="L272" s="350">
        <v>0</v>
      </c>
      <c r="M272" s="351"/>
      <c r="N272" s="352"/>
      <c r="O272" s="353">
        <v>35</v>
      </c>
      <c r="P272" s="351"/>
      <c r="Q272" s="349"/>
      <c r="R272" s="350">
        <v>35</v>
      </c>
      <c r="S272" s="351"/>
      <c r="T272" s="349"/>
      <c r="U272" s="6">
        <f t="shared" ref="U272" si="67">R272/G272</f>
        <v>1</v>
      </c>
      <c r="V272" s="193">
        <f>+'Mensual VEME2019'!I753+'Mensual VEME2019'!I874+'Mensual VEME2019'!I996</f>
        <v>0</v>
      </c>
      <c r="W272" s="193">
        <f t="shared" ref="W272:W273" si="68">+I272-V272</f>
        <v>0</v>
      </c>
      <c r="X272" s="193">
        <f>+'Mensual VEME2019'!L753+'Mensual VEME2019'!L874+'Mensual VEME2019'!L996</f>
        <v>0</v>
      </c>
      <c r="Y272" s="193">
        <f t="shared" ref="Y272:Y273" si="69">+L272-X272</f>
        <v>0</v>
      </c>
      <c r="Z272" s="193">
        <f t="shared" ref="Z272:Z273" si="70">+I272+O152</f>
        <v>35</v>
      </c>
      <c r="AA272" s="193">
        <f t="shared" ref="AA272:AA273" si="71">+O272-Z272</f>
        <v>0</v>
      </c>
      <c r="AB272" s="193">
        <f t="shared" ref="AB272:AB273" si="72">+L272+R152</f>
        <v>35</v>
      </c>
      <c r="AC272" s="193">
        <f t="shared" ref="AC272:AC273" si="73">+R272-AB272</f>
        <v>0</v>
      </c>
      <c r="AD272" s="195">
        <f t="shared" ref="AD272:AD273" si="74">+AB272/G272</f>
        <v>1</v>
      </c>
      <c r="AE272" s="194">
        <f t="shared" ref="AE272:AE273" si="75">+U272-AD272</f>
        <v>0</v>
      </c>
    </row>
    <row r="273" spans="1:31">
      <c r="A273" s="4"/>
      <c r="B273" s="328" t="s">
        <v>57</v>
      </c>
      <c r="C273" s="329"/>
      <c r="D273" s="330"/>
      <c r="E273" s="331" t="s">
        <v>58</v>
      </c>
      <c r="F273" s="332"/>
      <c r="G273" s="348">
        <v>907</v>
      </c>
      <c r="H273" s="349"/>
      <c r="I273" s="360">
        <v>225</v>
      </c>
      <c r="J273" s="341"/>
      <c r="K273" s="361"/>
      <c r="L273" s="350">
        <v>224</v>
      </c>
      <c r="M273" s="351"/>
      <c r="N273" s="352"/>
      <c r="O273" s="353">
        <f>70+70+70+88+84+70+70+70+85</f>
        <v>677</v>
      </c>
      <c r="P273" s="351"/>
      <c r="Q273" s="349"/>
      <c r="R273" s="350">
        <f>70+70+70+88+69+55+70+70+84</f>
        <v>646</v>
      </c>
      <c r="S273" s="351"/>
      <c r="T273" s="349"/>
      <c r="U273" s="54">
        <f>R273/G273</f>
        <v>0.71223814773980154</v>
      </c>
      <c r="V273" s="193">
        <f>+'Mensual VEME2019'!I754+'Mensual VEME2019'!I875+'Mensual VEME2019'!I997</f>
        <v>225</v>
      </c>
      <c r="W273" s="193">
        <f t="shared" si="68"/>
        <v>0</v>
      </c>
      <c r="X273" s="193">
        <f>+'Mensual VEME2019'!L754+'Mensual VEME2019'!L875+'Mensual VEME2019'!L997</f>
        <v>224</v>
      </c>
      <c r="Y273" s="193">
        <f t="shared" si="69"/>
        <v>0</v>
      </c>
      <c r="Z273" s="193">
        <f t="shared" si="70"/>
        <v>677</v>
      </c>
      <c r="AA273" s="193">
        <f t="shared" si="71"/>
        <v>0</v>
      </c>
      <c r="AB273" s="193">
        <f t="shared" si="72"/>
        <v>646</v>
      </c>
      <c r="AC273" s="193">
        <f t="shared" si="73"/>
        <v>0</v>
      </c>
      <c r="AD273" s="195">
        <f t="shared" si="74"/>
        <v>0.71223814773980154</v>
      </c>
      <c r="AE273" s="194">
        <f t="shared" si="75"/>
        <v>0</v>
      </c>
    </row>
    <row r="274" spans="1:31" ht="15" customHeight="1">
      <c r="A274" s="4"/>
      <c r="B274" s="354" t="s">
        <v>79</v>
      </c>
      <c r="C274" s="362"/>
      <c r="D274" s="363"/>
      <c r="E274" s="364"/>
      <c r="F274" s="365"/>
      <c r="G274" s="366"/>
      <c r="H274" s="367"/>
      <c r="I274" s="368"/>
      <c r="J274" s="369"/>
      <c r="K274" s="369"/>
      <c r="L274" s="370"/>
      <c r="M274" s="370"/>
      <c r="N274" s="365"/>
      <c r="O274" s="371"/>
      <c r="P274" s="370"/>
      <c r="Q274" s="370"/>
      <c r="R274" s="370"/>
      <c r="S274" s="370"/>
      <c r="T274" s="370"/>
      <c r="U274" s="138"/>
    </row>
    <row r="275" spans="1:31">
      <c r="A275" s="4"/>
      <c r="B275" s="328" t="s">
        <v>56</v>
      </c>
      <c r="C275" s="329"/>
      <c r="D275" s="330"/>
      <c r="E275" s="331" t="s">
        <v>58</v>
      </c>
      <c r="F275" s="332"/>
      <c r="G275" s="348">
        <v>96</v>
      </c>
      <c r="H275" s="359"/>
      <c r="I275" s="360">
        <v>0</v>
      </c>
      <c r="J275" s="341"/>
      <c r="K275" s="361"/>
      <c r="L275" s="350">
        <v>0</v>
      </c>
      <c r="M275" s="351"/>
      <c r="N275" s="352"/>
      <c r="O275" s="353">
        <v>96</v>
      </c>
      <c r="P275" s="351"/>
      <c r="Q275" s="349"/>
      <c r="R275" s="350">
        <v>96</v>
      </c>
      <c r="S275" s="351"/>
      <c r="T275" s="349"/>
      <c r="U275" s="54">
        <f t="shared" ref="U275" si="76">R275/G275</f>
        <v>1</v>
      </c>
      <c r="V275" s="193">
        <f>+'Mensual VEME2019'!I756+'Mensual VEME2019'!I877+'Mensual VEME2019'!I999</f>
        <v>0</v>
      </c>
      <c r="W275" s="193">
        <f t="shared" ref="W275:W276" si="77">+I275-V275</f>
        <v>0</v>
      </c>
      <c r="X275" s="193">
        <f>+'Mensual VEME2019'!L756+'Mensual VEME2019'!L877+'Mensual VEME2019'!L999</f>
        <v>0</v>
      </c>
      <c r="Y275" s="193">
        <f t="shared" ref="Y275:Y276" si="78">+L275-X275</f>
        <v>0</v>
      </c>
      <c r="Z275" s="193">
        <f t="shared" ref="Z275:Z276" si="79">+I275+O155</f>
        <v>96</v>
      </c>
      <c r="AA275" s="193">
        <f t="shared" ref="AA275:AA276" si="80">+O275-Z275</f>
        <v>0</v>
      </c>
      <c r="AB275" s="193">
        <f t="shared" ref="AB275:AB276" si="81">+L275+R155</f>
        <v>96</v>
      </c>
      <c r="AC275" s="193">
        <f t="shared" ref="AC275:AC276" si="82">+R275-AB275</f>
        <v>0</v>
      </c>
      <c r="AD275" s="195">
        <f t="shared" ref="AD275:AD276" si="83">+AB275/G275</f>
        <v>1</v>
      </c>
      <c r="AE275" s="194">
        <f t="shared" ref="AE275:AE276" si="84">+U275-AD275</f>
        <v>0</v>
      </c>
    </row>
    <row r="276" spans="1:31">
      <c r="A276" s="4"/>
      <c r="B276" s="328" t="s">
        <v>57</v>
      </c>
      <c r="C276" s="329"/>
      <c r="D276" s="330"/>
      <c r="E276" s="331" t="s">
        <v>58</v>
      </c>
      <c r="F276" s="332"/>
      <c r="G276" s="348">
        <v>1440</v>
      </c>
      <c r="H276" s="349"/>
      <c r="I276" s="360">
        <v>591</v>
      </c>
      <c r="J276" s="341"/>
      <c r="K276" s="361"/>
      <c r="L276" s="350">
        <v>591</v>
      </c>
      <c r="M276" s="351"/>
      <c r="N276" s="352"/>
      <c r="O276" s="353">
        <f>126+258+192+192+192+207</f>
        <v>1167</v>
      </c>
      <c r="P276" s="351"/>
      <c r="Q276" s="349"/>
      <c r="R276" s="350">
        <f>126+258+192+192+192+207</f>
        <v>1167</v>
      </c>
      <c r="S276" s="351"/>
      <c r="T276" s="349"/>
      <c r="U276" s="54">
        <f>R276/G276</f>
        <v>0.81041666666666667</v>
      </c>
      <c r="V276" s="193">
        <f>+'Mensual VEME2019'!I757+'Mensual VEME2019'!I878+'Mensual VEME2019'!I1000</f>
        <v>591</v>
      </c>
      <c r="W276" s="193">
        <f t="shared" si="77"/>
        <v>0</v>
      </c>
      <c r="X276" s="193">
        <f>+'Mensual VEME2019'!L757+'Mensual VEME2019'!L878+'Mensual VEME2019'!L1000</f>
        <v>591</v>
      </c>
      <c r="Y276" s="193">
        <f t="shared" si="78"/>
        <v>0</v>
      </c>
      <c r="Z276" s="193">
        <f t="shared" si="79"/>
        <v>1167</v>
      </c>
      <c r="AA276" s="193">
        <f t="shared" si="80"/>
        <v>0</v>
      </c>
      <c r="AB276" s="193">
        <f t="shared" si="81"/>
        <v>1167</v>
      </c>
      <c r="AC276" s="193">
        <f t="shared" si="82"/>
        <v>0</v>
      </c>
      <c r="AD276" s="195">
        <f t="shared" si="83"/>
        <v>0.81041666666666667</v>
      </c>
      <c r="AE276" s="194">
        <f t="shared" si="84"/>
        <v>0</v>
      </c>
    </row>
    <row r="277" spans="1:31">
      <c r="A277" s="4"/>
      <c r="B277" s="354" t="s">
        <v>63</v>
      </c>
      <c r="C277" s="355"/>
      <c r="D277" s="356"/>
      <c r="E277" s="357"/>
      <c r="F277" s="358"/>
      <c r="G277" s="348"/>
      <c r="H277" s="349"/>
      <c r="I277" s="360"/>
      <c r="J277" s="341"/>
      <c r="K277" s="361"/>
      <c r="L277" s="353"/>
      <c r="M277" s="351"/>
      <c r="N277" s="352"/>
      <c r="O277" s="353"/>
      <c r="P277" s="351"/>
      <c r="Q277" s="351"/>
      <c r="R277" s="351"/>
      <c r="S277" s="351"/>
      <c r="T277" s="351"/>
      <c r="U277" s="6"/>
    </row>
    <row r="278" spans="1:31">
      <c r="A278" s="4"/>
      <c r="B278" s="328" t="s">
        <v>60</v>
      </c>
      <c r="C278" s="329"/>
      <c r="D278" s="330"/>
      <c r="E278" s="331" t="s">
        <v>58</v>
      </c>
      <c r="F278" s="332"/>
      <c r="G278" s="348">
        <v>12</v>
      </c>
      <c r="H278" s="359"/>
      <c r="I278" s="350">
        <v>6</v>
      </c>
      <c r="J278" s="351"/>
      <c r="K278" s="349"/>
      <c r="L278" s="350">
        <v>6</v>
      </c>
      <c r="M278" s="351"/>
      <c r="N278" s="352"/>
      <c r="O278" s="353">
        <f>2+2+2+2</f>
        <v>8</v>
      </c>
      <c r="P278" s="351"/>
      <c r="Q278" s="349"/>
      <c r="R278" s="350">
        <f>2+2+2+2</f>
        <v>8</v>
      </c>
      <c r="S278" s="351"/>
      <c r="T278" s="349"/>
      <c r="U278" s="54">
        <f>R278/G278</f>
        <v>0.66666666666666663</v>
      </c>
      <c r="V278" s="193">
        <f>+'Mensual VEME2019'!I759+'Mensual VEME2019'!I880+'Mensual VEME2019'!I1002</f>
        <v>6</v>
      </c>
      <c r="W278" s="193">
        <f>+I278-V278</f>
        <v>0</v>
      </c>
      <c r="X278" s="193">
        <f>+'Mensual VEME2019'!L759+'Mensual VEME2019'!L880+'Mensual VEME2019'!L1002</f>
        <v>6</v>
      </c>
      <c r="Y278" s="193">
        <f>+L278-X278</f>
        <v>0</v>
      </c>
      <c r="Z278" s="193">
        <f>+I278+O158</f>
        <v>8</v>
      </c>
      <c r="AA278" s="193">
        <f>+O278-Z278</f>
        <v>0</v>
      </c>
      <c r="AB278" s="193">
        <f>+L278+R158</f>
        <v>8</v>
      </c>
      <c r="AC278" s="193">
        <f>+R278-AB278</f>
        <v>0</v>
      </c>
      <c r="AD278" s="195">
        <f>+AB278/G278</f>
        <v>0.66666666666666663</v>
      </c>
      <c r="AE278" s="194">
        <f>+U278-AD278</f>
        <v>0</v>
      </c>
    </row>
    <row r="279" spans="1:31">
      <c r="A279" s="4"/>
      <c r="B279" s="354" t="s">
        <v>61</v>
      </c>
      <c r="C279" s="355"/>
      <c r="D279" s="356"/>
      <c r="E279" s="357"/>
      <c r="F279" s="358"/>
      <c r="G279" s="348"/>
      <c r="H279" s="349"/>
      <c r="I279" s="350"/>
      <c r="J279" s="351"/>
      <c r="K279" s="349"/>
      <c r="L279" s="353"/>
      <c r="M279" s="351"/>
      <c r="N279" s="352"/>
      <c r="O279" s="353"/>
      <c r="P279" s="351"/>
      <c r="Q279" s="351"/>
      <c r="R279" s="351"/>
      <c r="S279" s="351"/>
      <c r="T279" s="351"/>
      <c r="U279" s="6"/>
    </row>
    <row r="280" spans="1:31" ht="15" customHeight="1">
      <c r="A280" s="4"/>
      <c r="B280" s="328" t="s">
        <v>61</v>
      </c>
      <c r="C280" s="329"/>
      <c r="D280" s="330"/>
      <c r="E280" s="331" t="s">
        <v>58</v>
      </c>
      <c r="F280" s="332"/>
      <c r="G280" s="348">
        <v>15</v>
      </c>
      <c r="H280" s="349"/>
      <c r="I280" s="350">
        <v>5</v>
      </c>
      <c r="J280" s="351"/>
      <c r="K280" s="349"/>
      <c r="L280" s="350">
        <v>10</v>
      </c>
      <c r="M280" s="351"/>
      <c r="N280" s="352"/>
      <c r="O280" s="353">
        <f>5+0+5+0</f>
        <v>10</v>
      </c>
      <c r="P280" s="351"/>
      <c r="Q280" s="349"/>
      <c r="R280" s="350">
        <f>0+5+0+5</f>
        <v>10</v>
      </c>
      <c r="S280" s="351"/>
      <c r="T280" s="349"/>
      <c r="U280" s="54">
        <f>R280/G280</f>
        <v>0.66666666666666663</v>
      </c>
      <c r="V280" s="193">
        <f>+'Mensual VEME2019'!I761+'Mensual VEME2019'!I882+'Mensual VEME2019'!I1004</f>
        <v>5</v>
      </c>
      <c r="W280" s="193">
        <f>+I280-V280</f>
        <v>0</v>
      </c>
      <c r="X280" s="193">
        <f>+'Mensual VEME2019'!L761+'Mensual VEME2019'!L882+'Mensual VEME2019'!L1004</f>
        <v>10</v>
      </c>
      <c r="Y280" s="193">
        <f>+L280-X280</f>
        <v>0</v>
      </c>
      <c r="Z280" s="193">
        <f>+I280+O160</f>
        <v>10</v>
      </c>
      <c r="AA280" s="193">
        <f>+O280-Z280</f>
        <v>0</v>
      </c>
      <c r="AB280" s="193">
        <f>+L280+R160</f>
        <v>10</v>
      </c>
      <c r="AC280" s="193">
        <f>+R280-AB280</f>
        <v>0</v>
      </c>
      <c r="AD280" s="195">
        <f>+AB280/G280</f>
        <v>0.66666666666666663</v>
      </c>
      <c r="AE280" s="194">
        <f>+U280-AD280</f>
        <v>0</v>
      </c>
    </row>
    <row r="281" spans="1:31" ht="15" customHeight="1">
      <c r="A281" s="4"/>
      <c r="B281" s="354" t="s">
        <v>62</v>
      </c>
      <c r="C281" s="355"/>
      <c r="D281" s="356"/>
      <c r="E281" s="357"/>
      <c r="F281" s="358"/>
      <c r="G281" s="348"/>
      <c r="H281" s="349"/>
      <c r="I281" s="350"/>
      <c r="J281" s="351"/>
      <c r="K281" s="349"/>
      <c r="L281" s="353"/>
      <c r="M281" s="351"/>
      <c r="N281" s="352"/>
      <c r="O281" s="353"/>
      <c r="P281" s="351"/>
      <c r="Q281" s="351"/>
      <c r="R281" s="351"/>
      <c r="S281" s="351"/>
      <c r="T281" s="351"/>
      <c r="U281" s="6"/>
    </row>
    <row r="282" spans="1:31" ht="15" customHeight="1" thickBot="1">
      <c r="A282" s="4"/>
      <c r="B282" s="328" t="s">
        <v>62</v>
      </c>
      <c r="C282" s="329"/>
      <c r="D282" s="330"/>
      <c r="E282" s="331" t="s">
        <v>58</v>
      </c>
      <c r="F282" s="332"/>
      <c r="G282" s="333">
        <v>1</v>
      </c>
      <c r="H282" s="334"/>
      <c r="I282" s="335">
        <v>0</v>
      </c>
      <c r="J282" s="336"/>
      <c r="K282" s="334"/>
      <c r="L282" s="458">
        <v>0</v>
      </c>
      <c r="M282" s="336"/>
      <c r="N282" s="459"/>
      <c r="O282" s="353">
        <v>0</v>
      </c>
      <c r="P282" s="351"/>
      <c r="Q282" s="351"/>
      <c r="R282" s="351">
        <v>0</v>
      </c>
      <c r="S282" s="351"/>
      <c r="T282" s="351"/>
      <c r="U282" s="54">
        <f>R282/G282</f>
        <v>0</v>
      </c>
      <c r="V282" s="193">
        <f>+'Mensual VEME2019'!I763+'Mensual VEME2019'!I884+'Mensual VEME2019'!I1006</f>
        <v>0</v>
      </c>
      <c r="W282" s="193">
        <f>+I282-V282</f>
        <v>0</v>
      </c>
      <c r="X282" s="193">
        <f>+'Mensual VEME2019'!L763+'Mensual VEME2019'!L884+'Mensual VEME2019'!L1006</f>
        <v>0</v>
      </c>
      <c r="Y282" s="193">
        <f>+L282-X282</f>
        <v>0</v>
      </c>
      <c r="Z282" s="193">
        <f>+I282+O162</f>
        <v>0</v>
      </c>
      <c r="AA282" s="193">
        <f>+O282-Z282</f>
        <v>0</v>
      </c>
      <c r="AB282" s="193">
        <f>+L282+R162</f>
        <v>0</v>
      </c>
      <c r="AC282" s="193">
        <f>+R282-AB282</f>
        <v>0</v>
      </c>
      <c r="AD282" s="195">
        <f>+AB282/G282</f>
        <v>0</v>
      </c>
      <c r="AE282" s="194">
        <f>+U282-AD282</f>
        <v>0</v>
      </c>
    </row>
    <row r="283" spans="1:31" ht="15.75" thickBot="1">
      <c r="A283" s="4"/>
      <c r="B283" s="342" t="s">
        <v>21</v>
      </c>
      <c r="C283" s="343"/>
      <c r="D283" s="343"/>
      <c r="E283" s="343"/>
      <c r="F283" s="344"/>
      <c r="G283" s="345"/>
      <c r="H283" s="346"/>
      <c r="I283" s="346"/>
      <c r="J283" s="346"/>
      <c r="K283" s="346"/>
      <c r="L283" s="346"/>
      <c r="M283" s="346"/>
      <c r="N283" s="347"/>
      <c r="O283" s="345"/>
      <c r="P283" s="346"/>
      <c r="Q283" s="346"/>
      <c r="R283" s="346"/>
      <c r="S283" s="346"/>
      <c r="T283" s="346"/>
      <c r="U283" s="347"/>
    </row>
    <row r="284" spans="1:31" ht="15.75" thickBot="1">
      <c r="B284" s="7"/>
      <c r="C284" s="8"/>
      <c r="D284" s="9"/>
      <c r="E284" s="10"/>
      <c r="F284" s="11"/>
      <c r="G284" s="12"/>
      <c r="H284" s="13"/>
      <c r="I284" s="14"/>
      <c r="J284" s="14"/>
      <c r="K284" s="15"/>
      <c r="L284" s="14"/>
      <c r="M284" s="15"/>
      <c r="N284" s="14"/>
      <c r="O284" s="14"/>
      <c r="P284" s="14"/>
      <c r="Q284" s="14"/>
      <c r="R284" s="15"/>
      <c r="S284" s="14"/>
      <c r="T284" s="12"/>
      <c r="U284" s="14"/>
    </row>
    <row r="285" spans="1:31" ht="16.5" customHeight="1" thickBot="1">
      <c r="A285" s="4"/>
      <c r="B285" s="306" t="s">
        <v>22</v>
      </c>
      <c r="C285" s="307"/>
      <c r="D285" s="307"/>
      <c r="E285" s="307"/>
      <c r="F285" s="308"/>
      <c r="G285" s="312" t="s">
        <v>129</v>
      </c>
      <c r="H285" s="313"/>
      <c r="I285" s="313"/>
      <c r="J285" s="313"/>
      <c r="K285" s="313"/>
      <c r="L285" s="313"/>
      <c r="M285" s="313"/>
      <c r="N285" s="313"/>
      <c r="O285" s="313"/>
      <c r="P285" s="313"/>
      <c r="Q285" s="313"/>
      <c r="R285" s="313"/>
      <c r="S285" s="313"/>
      <c r="T285" s="313"/>
      <c r="U285" s="314"/>
    </row>
    <row r="286" spans="1:31" ht="15.75" customHeight="1" thickBot="1">
      <c r="A286" s="4"/>
      <c r="B286" s="309"/>
      <c r="C286" s="310"/>
      <c r="D286" s="310"/>
      <c r="E286" s="310"/>
      <c r="F286" s="311"/>
      <c r="G286" s="315" t="s">
        <v>24</v>
      </c>
      <c r="H286" s="316"/>
      <c r="I286" s="310" t="s">
        <v>120</v>
      </c>
      <c r="J286" s="310"/>
      <c r="K286" s="310"/>
      <c r="L286" s="310"/>
      <c r="M286" s="310"/>
      <c r="N286" s="311"/>
      <c r="O286" s="321" t="s">
        <v>121</v>
      </c>
      <c r="P286" s="322"/>
      <c r="Q286" s="322"/>
      <c r="R286" s="322"/>
      <c r="S286" s="322"/>
      <c r="T286" s="322"/>
      <c r="U286" s="323"/>
    </row>
    <row r="287" spans="1:31" ht="15.75" customHeight="1" thickBot="1">
      <c r="A287" s="4"/>
      <c r="B287" s="309"/>
      <c r="C287" s="310"/>
      <c r="D287" s="310"/>
      <c r="E287" s="310"/>
      <c r="F287" s="311"/>
      <c r="G287" s="317"/>
      <c r="H287" s="318"/>
      <c r="I287" s="267" t="s">
        <v>18</v>
      </c>
      <c r="J287" s="268"/>
      <c r="K287" s="269"/>
      <c r="L287" s="267" t="s">
        <v>25</v>
      </c>
      <c r="M287" s="268"/>
      <c r="N287" s="269"/>
      <c r="O287" s="267" t="s">
        <v>18</v>
      </c>
      <c r="P287" s="268"/>
      <c r="Q287" s="324"/>
      <c r="R287" s="325" t="s">
        <v>25</v>
      </c>
      <c r="S287" s="268"/>
      <c r="T287" s="269"/>
      <c r="U287" s="326" t="s">
        <v>20</v>
      </c>
      <c r="V287" s="200" t="s">
        <v>158</v>
      </c>
      <c r="W287" s="201"/>
      <c r="X287" s="200" t="s">
        <v>159</v>
      </c>
      <c r="Y287" s="201"/>
      <c r="Z287" s="200" t="s">
        <v>161</v>
      </c>
      <c r="AA287" s="201"/>
      <c r="AB287" s="200" t="s">
        <v>160</v>
      </c>
      <c r="AC287" s="201"/>
      <c r="AD287" s="200" t="s">
        <v>162</v>
      </c>
      <c r="AE287" s="201"/>
    </row>
    <row r="288" spans="1:31" ht="25.5" customHeight="1" thickBot="1">
      <c r="A288" s="4"/>
      <c r="B288" s="309"/>
      <c r="C288" s="310"/>
      <c r="D288" s="310"/>
      <c r="E288" s="310"/>
      <c r="F288" s="311"/>
      <c r="G288" s="319"/>
      <c r="H288" s="320"/>
      <c r="I288" s="135" t="s">
        <v>26</v>
      </c>
      <c r="J288" s="137" t="s">
        <v>27</v>
      </c>
      <c r="K288" s="137" t="s">
        <v>28</v>
      </c>
      <c r="L288" s="135" t="s">
        <v>26</v>
      </c>
      <c r="M288" s="137" t="s">
        <v>27</v>
      </c>
      <c r="N288" s="136" t="s">
        <v>28</v>
      </c>
      <c r="O288" s="19" t="s">
        <v>26</v>
      </c>
      <c r="P288" s="135" t="s">
        <v>27</v>
      </c>
      <c r="Q288" s="20" t="s">
        <v>28</v>
      </c>
      <c r="R288" s="21" t="s">
        <v>26</v>
      </c>
      <c r="S288" s="134" t="s">
        <v>27</v>
      </c>
      <c r="T288" s="137" t="s">
        <v>28</v>
      </c>
      <c r="U288" s="327"/>
      <c r="V288" s="202"/>
      <c r="W288" s="203"/>
      <c r="X288" s="202"/>
      <c r="Y288" s="203"/>
      <c r="Z288" s="202"/>
      <c r="AA288" s="203"/>
      <c r="AB288" s="202"/>
      <c r="AC288" s="203"/>
      <c r="AD288" s="202"/>
      <c r="AE288" s="203"/>
    </row>
    <row r="289" spans="1:31" ht="15.75" thickBot="1">
      <c r="A289" s="4"/>
      <c r="B289" s="302" t="s">
        <v>29</v>
      </c>
      <c r="C289" s="303"/>
      <c r="D289" s="303"/>
      <c r="E289" s="303"/>
      <c r="F289" s="303"/>
      <c r="G289" s="303"/>
      <c r="H289" s="303"/>
      <c r="I289" s="303"/>
      <c r="J289" s="303"/>
      <c r="K289" s="303"/>
      <c r="L289" s="303"/>
      <c r="M289" s="303"/>
      <c r="N289" s="303"/>
      <c r="O289" s="303"/>
      <c r="P289" s="303"/>
      <c r="Q289" s="303"/>
      <c r="R289" s="303"/>
      <c r="S289" s="303"/>
      <c r="T289" s="303"/>
      <c r="U289" s="304"/>
    </row>
    <row r="290" spans="1:31" s="40" customFormat="1" ht="15.75" customHeight="1">
      <c r="A290" s="152"/>
      <c r="B290" s="287" t="s">
        <v>82</v>
      </c>
      <c r="C290" s="288"/>
      <c r="D290" s="288"/>
      <c r="E290" s="288"/>
      <c r="F290" s="289"/>
      <c r="G290" s="290">
        <v>1908</v>
      </c>
      <c r="H290" s="305"/>
      <c r="I290" s="158">
        <v>0</v>
      </c>
      <c r="J290" s="141">
        <v>0</v>
      </c>
      <c r="K290" s="141">
        <v>0</v>
      </c>
      <c r="L290" s="141">
        <v>0</v>
      </c>
      <c r="M290" s="141">
        <v>0</v>
      </c>
      <c r="N290" s="141">
        <v>0</v>
      </c>
      <c r="O290" s="141">
        <v>1908</v>
      </c>
      <c r="P290" s="141">
        <v>0</v>
      </c>
      <c r="Q290" s="154">
        <v>0</v>
      </c>
      <c r="R290" s="141">
        <v>0</v>
      </c>
      <c r="S290" s="141">
        <v>0</v>
      </c>
      <c r="T290" s="154">
        <v>0</v>
      </c>
      <c r="U290" s="155">
        <f>R290/G290</f>
        <v>0</v>
      </c>
      <c r="V290" s="196">
        <f>+'Mensual VEME2019'!I771+'Mensual VEME2019'!I892+'Mensual VEME2019'!I1014</f>
        <v>0</v>
      </c>
      <c r="W290" s="196">
        <f>+I290-V290</f>
        <v>0</v>
      </c>
      <c r="X290" s="196">
        <f>+'Mensual VEME2019'!L771+'Mensual VEME2019'!L892+'Mensual VEME2019'!L1014</f>
        <v>0</v>
      </c>
      <c r="Y290" s="196">
        <f>+L290-X290</f>
        <v>0</v>
      </c>
      <c r="Z290" s="196">
        <f>+V290+O170</f>
        <v>1908</v>
      </c>
      <c r="AA290" s="196">
        <f>+O290-Z290</f>
        <v>0</v>
      </c>
      <c r="AB290" s="196">
        <f>+X290+R170</f>
        <v>0</v>
      </c>
      <c r="AC290" s="196">
        <f>+R290-AB290</f>
        <v>0</v>
      </c>
      <c r="AD290" s="197">
        <f>+AB290/G290</f>
        <v>0</v>
      </c>
      <c r="AE290" s="198">
        <f>+U290-AD290</f>
        <v>0</v>
      </c>
    </row>
    <row r="291" spans="1:31" s="40" customFormat="1">
      <c r="A291" s="152"/>
      <c r="B291" s="274" t="s">
        <v>83</v>
      </c>
      <c r="C291" s="275"/>
      <c r="D291" s="275"/>
      <c r="E291" s="275"/>
      <c r="F291" s="276"/>
      <c r="G291" s="277">
        <v>9000</v>
      </c>
      <c r="H291" s="292"/>
      <c r="I291" s="199">
        <v>3000</v>
      </c>
      <c r="J291" s="117">
        <v>0</v>
      </c>
      <c r="K291" s="117">
        <v>0</v>
      </c>
      <c r="L291" s="117">
        <v>4242.3999999999996</v>
      </c>
      <c r="M291" s="117">
        <v>0</v>
      </c>
      <c r="N291" s="117">
        <v>0</v>
      </c>
      <c r="O291" s="117">
        <f>3000+3000</f>
        <v>6000</v>
      </c>
      <c r="P291" s="117">
        <v>0</v>
      </c>
      <c r="Q291" s="117">
        <v>0</v>
      </c>
      <c r="R291" s="117">
        <f>0+4242.4</f>
        <v>4242.3999999999996</v>
      </c>
      <c r="S291" s="117">
        <v>0</v>
      </c>
      <c r="T291" s="117">
        <v>0</v>
      </c>
      <c r="U291" s="153">
        <f>R291/G291</f>
        <v>0.47137777777777773</v>
      </c>
      <c r="V291" s="196">
        <f>+'Mensual VEME2019'!I772+'Mensual VEME2019'!I893+'Mensual VEME2019'!I1015</f>
        <v>3000</v>
      </c>
      <c r="W291" s="196">
        <f>+I291-V291</f>
        <v>0</v>
      </c>
      <c r="X291" s="196">
        <f>+'Mensual VEME2019'!L772+'Mensual VEME2019'!L893+'Mensual VEME2019'!L1015</f>
        <v>4242.3999999999996</v>
      </c>
      <c r="Y291" s="196">
        <f>+L291-X291</f>
        <v>0</v>
      </c>
      <c r="Z291" s="196">
        <f>+V291+O171</f>
        <v>6000</v>
      </c>
      <c r="AA291" s="196">
        <f>+O291-Z291</f>
        <v>0</v>
      </c>
      <c r="AB291" s="196">
        <f>+X291+R171</f>
        <v>4242.3999999999996</v>
      </c>
      <c r="AC291" s="196">
        <f>+R291-AB291</f>
        <v>0</v>
      </c>
      <c r="AD291" s="197">
        <f>+AB291/G291</f>
        <v>0.47137777777777773</v>
      </c>
      <c r="AE291" s="198">
        <f>+U291-AD291</f>
        <v>0</v>
      </c>
    </row>
    <row r="292" spans="1:31" s="40" customFormat="1">
      <c r="A292" s="152"/>
      <c r="B292" s="274" t="s">
        <v>84</v>
      </c>
      <c r="C292" s="275"/>
      <c r="D292" s="275"/>
      <c r="E292" s="275"/>
      <c r="F292" s="276"/>
      <c r="G292" s="277">
        <v>15000</v>
      </c>
      <c r="H292" s="292"/>
      <c r="I292" s="142">
        <v>0</v>
      </c>
      <c r="J292" s="117">
        <v>0</v>
      </c>
      <c r="K292" s="117">
        <v>0</v>
      </c>
      <c r="L292" s="117">
        <v>0</v>
      </c>
      <c r="M292" s="117">
        <v>0</v>
      </c>
      <c r="N292" s="117">
        <v>0</v>
      </c>
      <c r="O292" s="117">
        <v>15000</v>
      </c>
      <c r="P292" s="117">
        <v>0</v>
      </c>
      <c r="Q292" s="117">
        <v>0</v>
      </c>
      <c r="R292" s="117">
        <v>0</v>
      </c>
      <c r="S292" s="117">
        <v>0</v>
      </c>
      <c r="T292" s="117">
        <v>0</v>
      </c>
      <c r="U292" s="153">
        <f>R292/G292</f>
        <v>0</v>
      </c>
      <c r="V292" s="196">
        <f>+'Mensual VEME2019'!I773+'Mensual VEME2019'!I894+'Mensual VEME2019'!I1016</f>
        <v>0</v>
      </c>
      <c r="W292" s="196">
        <f>+I292-V292</f>
        <v>0</v>
      </c>
      <c r="X292" s="196">
        <f>+'Mensual VEME2019'!L773+'Mensual VEME2019'!L894+'Mensual VEME2019'!L1016</f>
        <v>0</v>
      </c>
      <c r="Y292" s="196">
        <f>+L292-X292</f>
        <v>0</v>
      </c>
      <c r="Z292" s="196">
        <f>+V292+O172</f>
        <v>15000</v>
      </c>
      <c r="AA292" s="196">
        <f>+O292-Z292</f>
        <v>0</v>
      </c>
      <c r="AB292" s="196">
        <f>+X292+R172</f>
        <v>0</v>
      </c>
      <c r="AC292" s="196">
        <f>+R292-AB292</f>
        <v>0</v>
      </c>
      <c r="AD292" s="197">
        <f>+AB292/G292</f>
        <v>0</v>
      </c>
      <c r="AE292" s="198">
        <f>+U292-AD292</f>
        <v>0</v>
      </c>
    </row>
    <row r="293" spans="1:31" s="40" customFormat="1">
      <c r="A293" s="152"/>
      <c r="B293" s="274" t="s">
        <v>85</v>
      </c>
      <c r="C293" s="275"/>
      <c r="D293" s="275"/>
      <c r="E293" s="275"/>
      <c r="F293" s="276"/>
      <c r="G293" s="277">
        <v>2000</v>
      </c>
      <c r="H293" s="292"/>
      <c r="I293" s="142">
        <v>0</v>
      </c>
      <c r="J293" s="117">
        <v>0</v>
      </c>
      <c r="K293" s="117">
        <v>0</v>
      </c>
      <c r="L293" s="117">
        <v>2000</v>
      </c>
      <c r="M293" s="117">
        <v>0</v>
      </c>
      <c r="N293" s="117">
        <v>0</v>
      </c>
      <c r="O293" s="117">
        <v>2000</v>
      </c>
      <c r="P293" s="117">
        <v>0</v>
      </c>
      <c r="Q293" s="117">
        <v>0</v>
      </c>
      <c r="R293" s="117">
        <v>2000</v>
      </c>
      <c r="S293" s="117">
        <v>0</v>
      </c>
      <c r="T293" s="117">
        <v>0</v>
      </c>
      <c r="U293" s="153">
        <f>R293/G293</f>
        <v>1</v>
      </c>
      <c r="V293" s="196">
        <f>+'Mensual VEME2019'!I774+'Mensual VEME2019'!I895+'Mensual VEME2019'!I1017</f>
        <v>0</v>
      </c>
      <c r="W293" s="196">
        <f t="shared" ref="W293:W310" si="85">+I293-V293</f>
        <v>0</v>
      </c>
      <c r="X293" s="196">
        <f>+'Mensual VEME2019'!L774+'Mensual VEME2019'!L895+'Mensual VEME2019'!L1017</f>
        <v>2000</v>
      </c>
      <c r="Y293" s="196">
        <f t="shared" ref="Y293:Y310" si="86">+L293-X293</f>
        <v>0</v>
      </c>
      <c r="Z293" s="196">
        <f t="shared" ref="Z293:Z310" si="87">+V293+O173</f>
        <v>2000</v>
      </c>
      <c r="AA293" s="196">
        <f t="shared" ref="AA293:AA310" si="88">+O293-Z293</f>
        <v>0</v>
      </c>
      <c r="AB293" s="196">
        <f t="shared" ref="AB293:AB310" si="89">+X293+R173</f>
        <v>2000</v>
      </c>
      <c r="AC293" s="196">
        <f t="shared" ref="AC293:AC310" si="90">+R293-AB293</f>
        <v>0</v>
      </c>
      <c r="AD293" s="197">
        <f t="shared" ref="AD293:AD310" si="91">+AB293/G293</f>
        <v>1</v>
      </c>
      <c r="AE293" s="198">
        <f t="shared" ref="AE293:AE310" si="92">+U293-AD293</f>
        <v>0</v>
      </c>
    </row>
    <row r="294" spans="1:31" s="40" customFormat="1">
      <c r="A294" s="152"/>
      <c r="B294" s="274" t="s">
        <v>119</v>
      </c>
      <c r="C294" s="275"/>
      <c r="D294" s="275"/>
      <c r="E294" s="275"/>
      <c r="F294" s="276"/>
      <c r="G294" s="277">
        <v>198000</v>
      </c>
      <c r="H294" s="292"/>
      <c r="I294" s="142">
        <v>49500</v>
      </c>
      <c r="J294" s="117">
        <v>0</v>
      </c>
      <c r="K294" s="117">
        <v>0</v>
      </c>
      <c r="L294" s="117">
        <v>138150.57</v>
      </c>
      <c r="M294" s="117">
        <v>0</v>
      </c>
      <c r="N294" s="117">
        <v>0</v>
      </c>
      <c r="O294" s="117">
        <f>16500+16500+16500+16500+16500+16500+16500+16500+16500</f>
        <v>148500</v>
      </c>
      <c r="P294" s="117">
        <v>0</v>
      </c>
      <c r="Q294" s="117">
        <v>0</v>
      </c>
      <c r="R294" s="117">
        <f>0+0+0+5000+2500+5000+64350.4+20000+53800.17</f>
        <v>150650.57</v>
      </c>
      <c r="S294" s="117">
        <v>0</v>
      </c>
      <c r="T294" s="117">
        <v>0</v>
      </c>
      <c r="U294" s="153">
        <f>R294/G294</f>
        <v>0.76086146464646465</v>
      </c>
      <c r="V294" s="196">
        <f>+'Mensual VEME2019'!I775+'Mensual VEME2019'!I896+'Mensual VEME2019'!I1018</f>
        <v>49500</v>
      </c>
      <c r="W294" s="196">
        <f t="shared" si="85"/>
        <v>0</v>
      </c>
      <c r="X294" s="196">
        <f>+'Mensual VEME2019'!L775+'Mensual VEME2019'!L896+'Mensual VEME2019'!L1018</f>
        <v>138150.57</v>
      </c>
      <c r="Y294" s="196">
        <f t="shared" si="86"/>
        <v>0</v>
      </c>
      <c r="Z294" s="196">
        <f t="shared" si="87"/>
        <v>148500</v>
      </c>
      <c r="AA294" s="196">
        <f t="shared" si="88"/>
        <v>0</v>
      </c>
      <c r="AB294" s="196">
        <f t="shared" si="89"/>
        <v>150650.57</v>
      </c>
      <c r="AC294" s="196">
        <f t="shared" si="90"/>
        <v>0</v>
      </c>
      <c r="AD294" s="197">
        <f t="shared" si="91"/>
        <v>0.76086146464646465</v>
      </c>
      <c r="AE294" s="198">
        <f t="shared" si="92"/>
        <v>0</v>
      </c>
    </row>
    <row r="295" spans="1:31" s="40" customFormat="1">
      <c r="A295" s="152"/>
      <c r="B295" s="274" t="s">
        <v>130</v>
      </c>
      <c r="C295" s="275"/>
      <c r="D295" s="275"/>
      <c r="E295" s="275"/>
      <c r="F295" s="276"/>
      <c r="G295" s="277">
        <v>13000</v>
      </c>
      <c r="H295" s="292"/>
      <c r="I295" s="142">
        <v>0</v>
      </c>
      <c r="J295" s="117">
        <v>0</v>
      </c>
      <c r="K295" s="117">
        <v>0</v>
      </c>
      <c r="L295" s="117">
        <v>0</v>
      </c>
      <c r="M295" s="117">
        <v>0</v>
      </c>
      <c r="N295" s="117">
        <v>0</v>
      </c>
      <c r="O295" s="117">
        <v>0</v>
      </c>
      <c r="P295" s="117">
        <v>0</v>
      </c>
      <c r="Q295" s="117">
        <v>0</v>
      </c>
      <c r="R295" s="117">
        <v>0</v>
      </c>
      <c r="S295" s="117">
        <v>0</v>
      </c>
      <c r="T295" s="117">
        <v>0</v>
      </c>
      <c r="U295" s="153">
        <f t="shared" ref="U295:U304" si="93">R295/G295</f>
        <v>0</v>
      </c>
      <c r="V295" s="196">
        <f>+'Mensual VEME2019'!I776+'Mensual VEME2019'!I897+'Mensual VEME2019'!I1019</f>
        <v>0</v>
      </c>
      <c r="W295" s="196">
        <f t="shared" si="85"/>
        <v>0</v>
      </c>
      <c r="X295" s="196">
        <f>+'Mensual VEME2019'!L776+'Mensual VEME2019'!L897+'Mensual VEME2019'!L1019</f>
        <v>0</v>
      </c>
      <c r="Y295" s="196">
        <f t="shared" si="86"/>
        <v>0</v>
      </c>
      <c r="Z295" s="196">
        <f t="shared" si="87"/>
        <v>0</v>
      </c>
      <c r="AA295" s="196">
        <f t="shared" si="88"/>
        <v>0</v>
      </c>
      <c r="AB295" s="196">
        <f t="shared" si="89"/>
        <v>0</v>
      </c>
      <c r="AC295" s="196">
        <f t="shared" si="90"/>
        <v>0</v>
      </c>
      <c r="AD295" s="197">
        <f t="shared" si="91"/>
        <v>0</v>
      </c>
      <c r="AE295" s="198">
        <f t="shared" si="92"/>
        <v>0</v>
      </c>
    </row>
    <row r="296" spans="1:31" s="40" customFormat="1">
      <c r="A296" s="152"/>
      <c r="B296" s="274" t="s">
        <v>86</v>
      </c>
      <c r="C296" s="275"/>
      <c r="D296" s="275"/>
      <c r="E296" s="275"/>
      <c r="F296" s="276"/>
      <c r="G296" s="277">
        <v>30000</v>
      </c>
      <c r="H296" s="292"/>
      <c r="I296" s="199">
        <v>0</v>
      </c>
      <c r="J296" s="117">
        <v>0</v>
      </c>
      <c r="K296" s="117">
        <v>0</v>
      </c>
      <c r="L296" s="117">
        <v>0</v>
      </c>
      <c r="M296" s="117">
        <v>0</v>
      </c>
      <c r="N296" s="117">
        <v>0</v>
      </c>
      <c r="O296" s="117">
        <f>30000</f>
        <v>30000</v>
      </c>
      <c r="P296" s="117">
        <v>0</v>
      </c>
      <c r="Q296" s="117">
        <v>0</v>
      </c>
      <c r="R296" s="117">
        <f>0+0+0+0</f>
        <v>0</v>
      </c>
      <c r="S296" s="117">
        <v>0</v>
      </c>
      <c r="T296" s="117">
        <v>0</v>
      </c>
      <c r="U296" s="153">
        <f t="shared" si="93"/>
        <v>0</v>
      </c>
      <c r="V296" s="196">
        <f>+'Mensual VEME2019'!I777+'Mensual VEME2019'!I898+'Mensual VEME2019'!I1020</f>
        <v>0</v>
      </c>
      <c r="W296" s="196">
        <f t="shared" si="85"/>
        <v>0</v>
      </c>
      <c r="X296" s="196">
        <f>+'Mensual VEME2019'!L777+'Mensual VEME2019'!L898+'Mensual VEME2019'!L1020</f>
        <v>0</v>
      </c>
      <c r="Y296" s="196">
        <f t="shared" si="86"/>
        <v>0</v>
      </c>
      <c r="Z296" s="196">
        <f t="shared" si="87"/>
        <v>30000</v>
      </c>
      <c r="AA296" s="196">
        <f t="shared" si="88"/>
        <v>0</v>
      </c>
      <c r="AB296" s="196">
        <f t="shared" si="89"/>
        <v>0</v>
      </c>
      <c r="AC296" s="196">
        <f t="shared" si="90"/>
        <v>0</v>
      </c>
      <c r="AD296" s="197">
        <f t="shared" si="91"/>
        <v>0</v>
      </c>
      <c r="AE296" s="198">
        <f t="shared" si="92"/>
        <v>0</v>
      </c>
    </row>
    <row r="297" spans="1:31" s="40" customFormat="1">
      <c r="A297" s="152"/>
      <c r="B297" s="274" t="s">
        <v>88</v>
      </c>
      <c r="C297" s="275"/>
      <c r="D297" s="275"/>
      <c r="E297" s="275"/>
      <c r="F297" s="276"/>
      <c r="G297" s="277">
        <v>5800</v>
      </c>
      <c r="H297" s="292"/>
      <c r="I297" s="142">
        <v>2900</v>
      </c>
      <c r="J297" s="117">
        <v>0</v>
      </c>
      <c r="K297" s="117">
        <v>0</v>
      </c>
      <c r="L297" s="117">
        <v>5800</v>
      </c>
      <c r="M297" s="117">
        <v>0</v>
      </c>
      <c r="N297" s="117">
        <v>0</v>
      </c>
      <c r="O297" s="117">
        <f>2900+2900</f>
        <v>5800</v>
      </c>
      <c r="P297" s="117">
        <v>0</v>
      </c>
      <c r="Q297" s="117">
        <v>0</v>
      </c>
      <c r="R297" s="117">
        <v>5800</v>
      </c>
      <c r="S297" s="117">
        <v>0</v>
      </c>
      <c r="T297" s="117">
        <v>0</v>
      </c>
      <c r="U297" s="153">
        <f t="shared" si="93"/>
        <v>1</v>
      </c>
      <c r="V297" s="196">
        <f>+'Mensual VEME2019'!I778+'Mensual VEME2019'!I899+'Mensual VEME2019'!I1021</f>
        <v>2900</v>
      </c>
      <c r="W297" s="196">
        <f t="shared" si="85"/>
        <v>0</v>
      </c>
      <c r="X297" s="196">
        <f>+'Mensual VEME2019'!L778+'Mensual VEME2019'!L899+'Mensual VEME2019'!L1021</f>
        <v>5800</v>
      </c>
      <c r="Y297" s="196">
        <f t="shared" si="86"/>
        <v>0</v>
      </c>
      <c r="Z297" s="196">
        <f t="shared" si="87"/>
        <v>5800</v>
      </c>
      <c r="AA297" s="196">
        <f t="shared" si="88"/>
        <v>0</v>
      </c>
      <c r="AB297" s="196">
        <f t="shared" si="89"/>
        <v>5800</v>
      </c>
      <c r="AC297" s="196">
        <f t="shared" si="90"/>
        <v>0</v>
      </c>
      <c r="AD297" s="197">
        <f t="shared" si="91"/>
        <v>1</v>
      </c>
      <c r="AE297" s="198">
        <f t="shared" si="92"/>
        <v>0</v>
      </c>
    </row>
    <row r="298" spans="1:31" s="40" customFormat="1">
      <c r="A298" s="152"/>
      <c r="B298" s="274" t="s">
        <v>131</v>
      </c>
      <c r="C298" s="275"/>
      <c r="D298" s="275"/>
      <c r="E298" s="275"/>
      <c r="F298" s="276"/>
      <c r="G298" s="277">
        <v>40000</v>
      </c>
      <c r="H298" s="292"/>
      <c r="I298" s="142">
        <v>16000</v>
      </c>
      <c r="J298" s="117">
        <v>0</v>
      </c>
      <c r="K298" s="117">
        <v>0</v>
      </c>
      <c r="L298" s="117">
        <v>16614.68</v>
      </c>
      <c r="M298" s="117">
        <v>0</v>
      </c>
      <c r="N298" s="117">
        <v>0</v>
      </c>
      <c r="O298" s="117">
        <f>8000+8000+8000</f>
        <v>24000</v>
      </c>
      <c r="P298" s="117">
        <v>0</v>
      </c>
      <c r="Q298" s="117">
        <v>0</v>
      </c>
      <c r="R298" s="117">
        <f>0+0+0+0+0+0+4176+5684+6754.68</f>
        <v>16614.68</v>
      </c>
      <c r="S298" s="117">
        <v>0</v>
      </c>
      <c r="T298" s="117">
        <v>0</v>
      </c>
      <c r="U298" s="153">
        <f t="shared" si="93"/>
        <v>0.41536699999999999</v>
      </c>
      <c r="V298" s="196">
        <f>+'Mensual VEME2019'!I779+'Mensual VEME2019'!I900+'Mensual VEME2019'!I1022</f>
        <v>16000</v>
      </c>
      <c r="W298" s="196">
        <f t="shared" si="85"/>
        <v>0</v>
      </c>
      <c r="X298" s="196">
        <f>+'Mensual VEME2019'!L779+'Mensual VEME2019'!L900+'Mensual VEME2019'!L1022</f>
        <v>16614.68</v>
      </c>
      <c r="Y298" s="196">
        <f t="shared" si="86"/>
        <v>0</v>
      </c>
      <c r="Z298" s="196">
        <f t="shared" si="87"/>
        <v>24000</v>
      </c>
      <c r="AA298" s="196">
        <f t="shared" si="88"/>
        <v>0</v>
      </c>
      <c r="AB298" s="196">
        <f t="shared" si="89"/>
        <v>16614.68</v>
      </c>
      <c r="AC298" s="196">
        <f t="shared" si="90"/>
        <v>0</v>
      </c>
      <c r="AD298" s="197">
        <f t="shared" si="91"/>
        <v>0.41536699999999999</v>
      </c>
      <c r="AE298" s="198">
        <f t="shared" si="92"/>
        <v>0</v>
      </c>
    </row>
    <row r="299" spans="1:31" s="40" customFormat="1">
      <c r="A299" s="152"/>
      <c r="B299" s="274" t="s">
        <v>87</v>
      </c>
      <c r="C299" s="275"/>
      <c r="D299" s="275"/>
      <c r="E299" s="275"/>
      <c r="F299" s="276"/>
      <c r="G299" s="277">
        <v>9000</v>
      </c>
      <c r="H299" s="292"/>
      <c r="I299" s="142">
        <v>6000</v>
      </c>
      <c r="J299" s="117">
        <v>0</v>
      </c>
      <c r="K299" s="117">
        <v>0</v>
      </c>
      <c r="L299" s="117">
        <v>3379.08</v>
      </c>
      <c r="M299" s="117">
        <v>0</v>
      </c>
      <c r="N299" s="117">
        <v>0</v>
      </c>
      <c r="O299" s="117">
        <f>3000+3000+3000</f>
        <v>9000</v>
      </c>
      <c r="P299" s="117">
        <v>0</v>
      </c>
      <c r="Q299" s="117">
        <v>0</v>
      </c>
      <c r="R299" s="117">
        <f>0+3379.08</f>
        <v>3379.08</v>
      </c>
      <c r="S299" s="117">
        <v>0</v>
      </c>
      <c r="T299" s="117">
        <v>0</v>
      </c>
      <c r="U299" s="153">
        <f t="shared" si="93"/>
        <v>0.37545333333333331</v>
      </c>
      <c r="V299" s="196">
        <f>+'Mensual VEME2019'!I780+'Mensual VEME2019'!I901+'Mensual VEME2019'!I1023</f>
        <v>6000</v>
      </c>
      <c r="W299" s="196">
        <f t="shared" si="85"/>
        <v>0</v>
      </c>
      <c r="X299" s="196">
        <f>+'Mensual VEME2019'!L780+'Mensual VEME2019'!L901+'Mensual VEME2019'!L1023</f>
        <v>3379.08</v>
      </c>
      <c r="Y299" s="196">
        <f t="shared" si="86"/>
        <v>0</v>
      </c>
      <c r="Z299" s="196">
        <f t="shared" si="87"/>
        <v>9000</v>
      </c>
      <c r="AA299" s="196">
        <f t="shared" si="88"/>
        <v>0</v>
      </c>
      <c r="AB299" s="196">
        <f t="shared" si="89"/>
        <v>3379.08</v>
      </c>
      <c r="AC299" s="196">
        <f t="shared" si="90"/>
        <v>0</v>
      </c>
      <c r="AD299" s="197">
        <f t="shared" si="91"/>
        <v>0.37545333333333331</v>
      </c>
      <c r="AE299" s="198">
        <f t="shared" si="92"/>
        <v>0</v>
      </c>
    </row>
    <row r="300" spans="1:31" s="40" customFormat="1">
      <c r="A300" s="152"/>
      <c r="B300" s="274" t="s">
        <v>89</v>
      </c>
      <c r="C300" s="275"/>
      <c r="D300" s="275"/>
      <c r="E300" s="275"/>
      <c r="F300" s="276"/>
      <c r="G300" s="277">
        <v>8000</v>
      </c>
      <c r="H300" s="292"/>
      <c r="I300" s="142">
        <v>0</v>
      </c>
      <c r="J300" s="117">
        <v>0</v>
      </c>
      <c r="K300" s="117">
        <v>0</v>
      </c>
      <c r="L300" s="117">
        <v>0</v>
      </c>
      <c r="M300" s="117">
        <v>0</v>
      </c>
      <c r="N300" s="117">
        <v>0</v>
      </c>
      <c r="O300" s="117">
        <f>8000</f>
        <v>8000</v>
      </c>
      <c r="P300" s="117">
        <v>0</v>
      </c>
      <c r="Q300" s="117">
        <v>0</v>
      </c>
      <c r="R300" s="117">
        <f>0+0+0+0</f>
        <v>0</v>
      </c>
      <c r="S300" s="117">
        <v>0</v>
      </c>
      <c r="T300" s="117">
        <v>0</v>
      </c>
      <c r="U300" s="153">
        <f t="shared" si="93"/>
        <v>0</v>
      </c>
      <c r="V300" s="196">
        <f>+'Mensual VEME2019'!I781+'Mensual VEME2019'!I902+'Mensual VEME2019'!I1024</f>
        <v>0</v>
      </c>
      <c r="W300" s="196">
        <f t="shared" si="85"/>
        <v>0</v>
      </c>
      <c r="X300" s="196">
        <f>+'Mensual VEME2019'!L781+'Mensual VEME2019'!L902+'Mensual VEME2019'!L1024</f>
        <v>0</v>
      </c>
      <c r="Y300" s="196">
        <f t="shared" si="86"/>
        <v>0</v>
      </c>
      <c r="Z300" s="196">
        <f t="shared" si="87"/>
        <v>8000</v>
      </c>
      <c r="AA300" s="196">
        <f t="shared" si="88"/>
        <v>0</v>
      </c>
      <c r="AB300" s="196">
        <f t="shared" si="89"/>
        <v>0</v>
      </c>
      <c r="AC300" s="196">
        <f t="shared" si="90"/>
        <v>0</v>
      </c>
      <c r="AD300" s="197">
        <f t="shared" si="91"/>
        <v>0</v>
      </c>
      <c r="AE300" s="198">
        <f t="shared" si="92"/>
        <v>0</v>
      </c>
    </row>
    <row r="301" spans="1:31" s="40" customFormat="1">
      <c r="A301" s="152"/>
      <c r="B301" s="274" t="s">
        <v>90</v>
      </c>
      <c r="C301" s="275"/>
      <c r="D301" s="275"/>
      <c r="E301" s="275"/>
      <c r="F301" s="276"/>
      <c r="G301" s="277">
        <v>9000</v>
      </c>
      <c r="H301" s="292"/>
      <c r="I301" s="142">
        <v>6000</v>
      </c>
      <c r="J301" s="117">
        <v>0</v>
      </c>
      <c r="K301" s="117">
        <v>0</v>
      </c>
      <c r="L301" s="117">
        <v>4617.12</v>
      </c>
      <c r="M301" s="117">
        <v>0</v>
      </c>
      <c r="N301" s="117">
        <v>0</v>
      </c>
      <c r="O301" s="117">
        <f>3000+3000+3000</f>
        <v>9000</v>
      </c>
      <c r="P301" s="117">
        <v>0</v>
      </c>
      <c r="Q301" s="117">
        <v>0</v>
      </c>
      <c r="R301" s="117">
        <f>0+0+0+0+0+0+0+0+4617.12</f>
        <v>4617.12</v>
      </c>
      <c r="S301" s="117">
        <v>0</v>
      </c>
      <c r="T301" s="117">
        <v>0</v>
      </c>
      <c r="U301" s="153">
        <f t="shared" si="93"/>
        <v>0.51301333333333332</v>
      </c>
      <c r="V301" s="196">
        <f>+'Mensual VEME2019'!I782+'Mensual VEME2019'!I903+'Mensual VEME2019'!I1025</f>
        <v>6000</v>
      </c>
      <c r="W301" s="196">
        <f t="shared" si="85"/>
        <v>0</v>
      </c>
      <c r="X301" s="196">
        <f>+'Mensual VEME2019'!L782+'Mensual VEME2019'!L903+'Mensual VEME2019'!L1025</f>
        <v>4617.12</v>
      </c>
      <c r="Y301" s="196">
        <f t="shared" si="86"/>
        <v>0</v>
      </c>
      <c r="Z301" s="196">
        <f t="shared" si="87"/>
        <v>9000</v>
      </c>
      <c r="AA301" s="196">
        <f t="shared" si="88"/>
        <v>0</v>
      </c>
      <c r="AB301" s="196">
        <f t="shared" si="89"/>
        <v>4617.12</v>
      </c>
      <c r="AC301" s="196">
        <f t="shared" si="90"/>
        <v>0</v>
      </c>
      <c r="AD301" s="197">
        <f t="shared" si="91"/>
        <v>0.51301333333333332</v>
      </c>
      <c r="AE301" s="198">
        <f t="shared" si="92"/>
        <v>0</v>
      </c>
    </row>
    <row r="302" spans="1:31" s="40" customFormat="1">
      <c r="A302" s="152"/>
      <c r="B302" s="274" t="s">
        <v>64</v>
      </c>
      <c r="C302" s="275"/>
      <c r="D302" s="275"/>
      <c r="E302" s="275"/>
      <c r="F302" s="276"/>
      <c r="G302" s="277">
        <v>3750</v>
      </c>
      <c r="H302" s="292"/>
      <c r="I302" s="199">
        <v>1250</v>
      </c>
      <c r="J302" s="117">
        <v>0</v>
      </c>
      <c r="K302" s="117">
        <v>0</v>
      </c>
      <c r="L302" s="117">
        <v>822</v>
      </c>
      <c r="M302" s="117">
        <v>0</v>
      </c>
      <c r="N302" s="117">
        <v>0</v>
      </c>
      <c r="O302" s="117">
        <f>1250+1250</f>
        <v>2500</v>
      </c>
      <c r="P302" s="117">
        <v>0</v>
      </c>
      <c r="Q302" s="117">
        <v>0</v>
      </c>
      <c r="R302" s="117">
        <f>622+200</f>
        <v>822</v>
      </c>
      <c r="S302" s="117">
        <v>0</v>
      </c>
      <c r="T302" s="117">
        <v>0</v>
      </c>
      <c r="U302" s="153">
        <f t="shared" si="93"/>
        <v>0.21920000000000001</v>
      </c>
      <c r="V302" s="196">
        <f>+'Mensual VEME2019'!I783+'Mensual VEME2019'!I904+'Mensual VEME2019'!I1026</f>
        <v>1250</v>
      </c>
      <c r="W302" s="196">
        <f t="shared" si="85"/>
        <v>0</v>
      </c>
      <c r="X302" s="196">
        <f>+'Mensual VEME2019'!L783+'Mensual VEME2019'!L904+'Mensual VEME2019'!L1026</f>
        <v>822</v>
      </c>
      <c r="Y302" s="196">
        <f t="shared" si="86"/>
        <v>0</v>
      </c>
      <c r="Z302" s="196">
        <f t="shared" si="87"/>
        <v>2500</v>
      </c>
      <c r="AA302" s="196">
        <f t="shared" si="88"/>
        <v>0</v>
      </c>
      <c r="AB302" s="196">
        <f t="shared" si="89"/>
        <v>822</v>
      </c>
      <c r="AC302" s="196">
        <f t="shared" si="90"/>
        <v>0</v>
      </c>
      <c r="AD302" s="197">
        <f t="shared" si="91"/>
        <v>0.21920000000000001</v>
      </c>
      <c r="AE302" s="198">
        <f t="shared" si="92"/>
        <v>0</v>
      </c>
    </row>
    <row r="303" spans="1:31" s="40" customFormat="1">
      <c r="A303" s="152"/>
      <c r="B303" s="274" t="s">
        <v>91</v>
      </c>
      <c r="C303" s="275"/>
      <c r="D303" s="275"/>
      <c r="E303" s="275"/>
      <c r="F303" s="276"/>
      <c r="G303" s="277">
        <v>6000</v>
      </c>
      <c r="H303" s="292"/>
      <c r="I303" s="142">
        <v>0</v>
      </c>
      <c r="J303" s="117">
        <v>0</v>
      </c>
      <c r="K303" s="117">
        <v>0</v>
      </c>
      <c r="L303" s="117">
        <v>0</v>
      </c>
      <c r="M303" s="117">
        <v>0</v>
      </c>
      <c r="N303" s="117">
        <v>0</v>
      </c>
      <c r="O303" s="117">
        <f>6000</f>
        <v>6000</v>
      </c>
      <c r="P303" s="117">
        <v>0</v>
      </c>
      <c r="Q303" s="117">
        <v>0</v>
      </c>
      <c r="R303" s="117">
        <f>0+0+0+0</f>
        <v>0</v>
      </c>
      <c r="S303" s="117">
        <v>0</v>
      </c>
      <c r="T303" s="117">
        <v>0</v>
      </c>
      <c r="U303" s="153">
        <f t="shared" si="93"/>
        <v>0</v>
      </c>
      <c r="V303" s="196">
        <f>+'Mensual VEME2019'!I784+'Mensual VEME2019'!I905+'Mensual VEME2019'!I1027</f>
        <v>0</v>
      </c>
      <c r="W303" s="196">
        <f t="shared" si="85"/>
        <v>0</v>
      </c>
      <c r="X303" s="196">
        <f>+'Mensual VEME2019'!L784+'Mensual VEME2019'!L905+'Mensual VEME2019'!L1027</f>
        <v>0</v>
      </c>
      <c r="Y303" s="196">
        <f t="shared" si="86"/>
        <v>0</v>
      </c>
      <c r="Z303" s="196">
        <f t="shared" si="87"/>
        <v>6000</v>
      </c>
      <c r="AA303" s="196">
        <f t="shared" si="88"/>
        <v>0</v>
      </c>
      <c r="AB303" s="196">
        <f t="shared" si="89"/>
        <v>0</v>
      </c>
      <c r="AC303" s="196">
        <f t="shared" si="90"/>
        <v>0</v>
      </c>
      <c r="AD303" s="197">
        <f t="shared" si="91"/>
        <v>0</v>
      </c>
      <c r="AE303" s="198">
        <f t="shared" si="92"/>
        <v>0</v>
      </c>
    </row>
    <row r="304" spans="1:31" s="40" customFormat="1">
      <c r="A304" s="152"/>
      <c r="B304" s="274" t="s">
        <v>81</v>
      </c>
      <c r="C304" s="275"/>
      <c r="D304" s="275"/>
      <c r="E304" s="275"/>
      <c r="F304" s="276"/>
      <c r="G304" s="277">
        <v>195000</v>
      </c>
      <c r="H304" s="292"/>
      <c r="I304" s="142">
        <v>39000</v>
      </c>
      <c r="J304" s="117">
        <v>0</v>
      </c>
      <c r="K304" s="117">
        <v>0</v>
      </c>
      <c r="L304" s="117">
        <v>36827.129999999997</v>
      </c>
      <c r="M304" s="117">
        <v>0</v>
      </c>
      <c r="N304" s="117">
        <v>0</v>
      </c>
      <c r="O304" s="117">
        <f>26000+26000+26000+13000+13000+13000+13000+13000+13000</f>
        <v>156000</v>
      </c>
      <c r="P304" s="117">
        <v>0</v>
      </c>
      <c r="Q304" s="117">
        <v>0</v>
      </c>
      <c r="R304" s="117">
        <f>23416.71+27887.03+23419.61+15279.25+11463.61+13780.18+9596.71+15708.75+11521.67</f>
        <v>152073.52000000002</v>
      </c>
      <c r="S304" s="117">
        <v>0</v>
      </c>
      <c r="T304" s="117">
        <v>0</v>
      </c>
      <c r="U304" s="153">
        <f t="shared" si="93"/>
        <v>0.7798642051282052</v>
      </c>
      <c r="V304" s="196">
        <f>+'Mensual VEME2019'!I785+'Mensual VEME2019'!I906+'Mensual VEME2019'!I1028</f>
        <v>39000</v>
      </c>
      <c r="W304" s="196">
        <f t="shared" si="85"/>
        <v>0</v>
      </c>
      <c r="X304" s="196">
        <f>+'Mensual VEME2019'!L785+'Mensual VEME2019'!L906+'Mensual VEME2019'!L1028</f>
        <v>36827.129999999997</v>
      </c>
      <c r="Y304" s="196">
        <f t="shared" si="86"/>
        <v>0</v>
      </c>
      <c r="Z304" s="196">
        <f t="shared" si="87"/>
        <v>156000</v>
      </c>
      <c r="AA304" s="196">
        <f t="shared" si="88"/>
        <v>0</v>
      </c>
      <c r="AB304" s="196">
        <f t="shared" si="89"/>
        <v>152073.52000000002</v>
      </c>
      <c r="AC304" s="196">
        <f t="shared" si="90"/>
        <v>0</v>
      </c>
      <c r="AD304" s="197">
        <f t="shared" si="91"/>
        <v>0.7798642051282052</v>
      </c>
      <c r="AE304" s="198">
        <f t="shared" si="92"/>
        <v>0</v>
      </c>
    </row>
    <row r="305" spans="1:31" s="40" customFormat="1" ht="15" customHeight="1">
      <c r="A305" s="152"/>
      <c r="B305" s="274" t="s">
        <v>132</v>
      </c>
      <c r="C305" s="275"/>
      <c r="D305" s="275"/>
      <c r="E305" s="275"/>
      <c r="F305" s="276"/>
      <c r="G305" s="277">
        <v>1900</v>
      </c>
      <c r="H305" s="292"/>
      <c r="I305" s="142">
        <v>0</v>
      </c>
      <c r="J305" s="117">
        <v>0</v>
      </c>
      <c r="K305" s="117">
        <v>0</v>
      </c>
      <c r="L305" s="117">
        <v>0</v>
      </c>
      <c r="M305" s="117">
        <v>0</v>
      </c>
      <c r="N305" s="117">
        <v>0</v>
      </c>
      <c r="O305" s="117">
        <v>1900</v>
      </c>
      <c r="P305" s="117">
        <v>0</v>
      </c>
      <c r="Q305" s="117">
        <v>0</v>
      </c>
      <c r="R305" s="117">
        <f>0+1893.11</f>
        <v>1893.11</v>
      </c>
      <c r="S305" s="117">
        <v>0</v>
      </c>
      <c r="T305" s="117">
        <v>0</v>
      </c>
      <c r="U305" s="153">
        <f>R305/G305</f>
        <v>0.9963736842105263</v>
      </c>
      <c r="V305" s="196">
        <f>+'Mensual VEME2019'!I786+'Mensual VEME2019'!I907+'Mensual VEME2019'!I1029</f>
        <v>0</v>
      </c>
      <c r="W305" s="196">
        <f t="shared" si="85"/>
        <v>0</v>
      </c>
      <c r="X305" s="196">
        <f>+'Mensual VEME2019'!L786+'Mensual VEME2019'!L907+'Mensual VEME2019'!L1029</f>
        <v>0</v>
      </c>
      <c r="Y305" s="196">
        <f t="shared" si="86"/>
        <v>0</v>
      </c>
      <c r="Z305" s="196">
        <f t="shared" si="87"/>
        <v>1900</v>
      </c>
      <c r="AA305" s="196">
        <f t="shared" si="88"/>
        <v>0</v>
      </c>
      <c r="AB305" s="196">
        <f t="shared" si="89"/>
        <v>1893.11</v>
      </c>
      <c r="AC305" s="196">
        <f t="shared" si="90"/>
        <v>0</v>
      </c>
      <c r="AD305" s="197">
        <f t="shared" si="91"/>
        <v>0.9963736842105263</v>
      </c>
      <c r="AE305" s="198">
        <f t="shared" si="92"/>
        <v>0</v>
      </c>
    </row>
    <row r="306" spans="1:31" s="40" customFormat="1" ht="15" customHeight="1">
      <c r="A306" s="152"/>
      <c r="B306" s="274" t="s">
        <v>133</v>
      </c>
      <c r="C306" s="275"/>
      <c r="D306" s="275"/>
      <c r="E306" s="275"/>
      <c r="F306" s="276"/>
      <c r="G306" s="277">
        <v>20000</v>
      </c>
      <c r="H306" s="292"/>
      <c r="I306" s="142">
        <v>20000</v>
      </c>
      <c r="J306" s="116">
        <v>0</v>
      </c>
      <c r="K306" s="116">
        <v>0</v>
      </c>
      <c r="L306" s="116">
        <v>17456</v>
      </c>
      <c r="M306" s="116">
        <v>0</v>
      </c>
      <c r="N306" s="116">
        <v>0</v>
      </c>
      <c r="O306" s="116">
        <v>20000</v>
      </c>
      <c r="P306" s="116">
        <v>0</v>
      </c>
      <c r="Q306" s="116">
        <v>0</v>
      </c>
      <c r="R306" s="116">
        <v>17456</v>
      </c>
      <c r="S306" s="116">
        <v>0</v>
      </c>
      <c r="T306" s="116">
        <v>0</v>
      </c>
      <c r="U306" s="156">
        <f>R306/G306</f>
        <v>0.87280000000000002</v>
      </c>
      <c r="V306" s="196">
        <f>+'Mensual VEME2019'!I787+'Mensual VEME2019'!I908+'Mensual VEME2019'!I1030</f>
        <v>20000</v>
      </c>
      <c r="W306" s="196">
        <f t="shared" si="85"/>
        <v>0</v>
      </c>
      <c r="X306" s="196">
        <f>+'Mensual VEME2019'!L787+'Mensual VEME2019'!L908+'Mensual VEME2019'!L1030</f>
        <v>17456</v>
      </c>
      <c r="Y306" s="196">
        <f t="shared" si="86"/>
        <v>0</v>
      </c>
      <c r="Z306" s="196">
        <f t="shared" si="87"/>
        <v>20000</v>
      </c>
      <c r="AA306" s="196">
        <f t="shared" si="88"/>
        <v>0</v>
      </c>
      <c r="AB306" s="196">
        <f t="shared" si="89"/>
        <v>17456</v>
      </c>
      <c r="AC306" s="196">
        <f t="shared" si="90"/>
        <v>0</v>
      </c>
      <c r="AD306" s="197">
        <f t="shared" si="91"/>
        <v>0.87280000000000002</v>
      </c>
      <c r="AE306" s="198">
        <f t="shared" si="92"/>
        <v>0</v>
      </c>
    </row>
    <row r="307" spans="1:31" s="40" customFormat="1" ht="15" customHeight="1">
      <c r="A307" s="152"/>
      <c r="B307" s="274" t="s">
        <v>134</v>
      </c>
      <c r="C307" s="275"/>
      <c r="D307" s="275"/>
      <c r="E307" s="275"/>
      <c r="F307" s="276"/>
      <c r="G307" s="277">
        <v>7200</v>
      </c>
      <c r="H307" s="292"/>
      <c r="I307" s="199">
        <v>0</v>
      </c>
      <c r="J307" s="116">
        <v>0</v>
      </c>
      <c r="K307" s="116">
        <v>0</v>
      </c>
      <c r="L307" s="116">
        <v>0</v>
      </c>
      <c r="M307" s="116">
        <v>0</v>
      </c>
      <c r="N307" s="116">
        <v>0</v>
      </c>
      <c r="O307" s="116">
        <f>7200</f>
        <v>7200</v>
      </c>
      <c r="P307" s="116">
        <v>0</v>
      </c>
      <c r="Q307" s="116">
        <v>0</v>
      </c>
      <c r="R307" s="116">
        <f>7200</f>
        <v>7200</v>
      </c>
      <c r="S307" s="116">
        <v>0</v>
      </c>
      <c r="T307" s="116">
        <v>0</v>
      </c>
      <c r="U307" s="156">
        <f>R307/G307</f>
        <v>1</v>
      </c>
      <c r="V307" s="196">
        <f>+'Mensual VEME2019'!I788+'Mensual VEME2019'!I909+'Mensual VEME2019'!I1031</f>
        <v>0</v>
      </c>
      <c r="W307" s="196">
        <f t="shared" si="85"/>
        <v>0</v>
      </c>
      <c r="X307" s="196">
        <f>+'Mensual VEME2019'!L788+'Mensual VEME2019'!L909+'Mensual VEME2019'!L1031</f>
        <v>0</v>
      </c>
      <c r="Y307" s="196">
        <f t="shared" si="86"/>
        <v>0</v>
      </c>
      <c r="Z307" s="196">
        <f t="shared" si="87"/>
        <v>7200</v>
      </c>
      <c r="AA307" s="196">
        <f t="shared" si="88"/>
        <v>0</v>
      </c>
      <c r="AB307" s="196">
        <f t="shared" si="89"/>
        <v>7200</v>
      </c>
      <c r="AC307" s="196">
        <f t="shared" si="90"/>
        <v>0</v>
      </c>
      <c r="AD307" s="197">
        <f t="shared" si="91"/>
        <v>1</v>
      </c>
      <c r="AE307" s="198">
        <f t="shared" si="92"/>
        <v>0</v>
      </c>
    </row>
    <row r="308" spans="1:31" s="40" customFormat="1" ht="15" customHeight="1">
      <c r="A308" s="152"/>
      <c r="B308" s="274" t="s">
        <v>79</v>
      </c>
      <c r="C308" s="275"/>
      <c r="D308" s="275"/>
      <c r="E308" s="275"/>
      <c r="F308" s="276"/>
      <c r="G308" s="277">
        <v>37500</v>
      </c>
      <c r="H308" s="292"/>
      <c r="I308" s="142">
        <v>0</v>
      </c>
      <c r="J308" s="116">
        <v>0</v>
      </c>
      <c r="K308" s="116">
        <v>0</v>
      </c>
      <c r="L308" s="116">
        <v>37500</v>
      </c>
      <c r="M308" s="116">
        <v>0</v>
      </c>
      <c r="N308" s="116">
        <v>0</v>
      </c>
      <c r="O308" s="116">
        <v>37500</v>
      </c>
      <c r="P308" s="116">
        <v>0</v>
      </c>
      <c r="Q308" s="116">
        <v>0</v>
      </c>
      <c r="R308" s="116">
        <f>0+0+0+0+0+0+0+37500</f>
        <v>37500</v>
      </c>
      <c r="S308" s="116">
        <v>0</v>
      </c>
      <c r="T308" s="116">
        <v>0</v>
      </c>
      <c r="U308" s="156">
        <f t="shared" ref="U308:U309" si="94">R308/G308</f>
        <v>1</v>
      </c>
      <c r="V308" s="196">
        <f>+'Mensual VEME2019'!I789+'Mensual VEME2019'!I910+'Mensual VEME2019'!I1032</f>
        <v>0</v>
      </c>
      <c r="W308" s="196">
        <f t="shared" si="85"/>
        <v>0</v>
      </c>
      <c r="X308" s="196">
        <f>+'Mensual VEME2019'!L789+'Mensual VEME2019'!L910+'Mensual VEME2019'!L1032</f>
        <v>37500</v>
      </c>
      <c r="Y308" s="196">
        <f t="shared" si="86"/>
        <v>0</v>
      </c>
      <c r="Z308" s="196">
        <f t="shared" si="87"/>
        <v>37500</v>
      </c>
      <c r="AA308" s="196">
        <f t="shared" si="88"/>
        <v>0</v>
      </c>
      <c r="AB308" s="196">
        <f t="shared" si="89"/>
        <v>37500</v>
      </c>
      <c r="AC308" s="196">
        <f t="shared" si="90"/>
        <v>0</v>
      </c>
      <c r="AD308" s="197">
        <f t="shared" si="91"/>
        <v>1</v>
      </c>
      <c r="AE308" s="198">
        <f t="shared" si="92"/>
        <v>0</v>
      </c>
    </row>
    <row r="309" spans="1:31" s="40" customFormat="1" ht="15" customHeight="1">
      <c r="A309" s="152"/>
      <c r="B309" s="274" t="s">
        <v>92</v>
      </c>
      <c r="C309" s="275"/>
      <c r="D309" s="275"/>
      <c r="E309" s="275"/>
      <c r="F309" s="276"/>
      <c r="G309" s="277">
        <v>39600</v>
      </c>
      <c r="H309" s="292"/>
      <c r="I309" s="142">
        <v>0</v>
      </c>
      <c r="J309" s="116">
        <v>0</v>
      </c>
      <c r="K309" s="116">
        <v>0</v>
      </c>
      <c r="L309" s="116">
        <v>0</v>
      </c>
      <c r="M309" s="116">
        <v>0</v>
      </c>
      <c r="N309" s="116">
        <v>0</v>
      </c>
      <c r="O309" s="116">
        <v>39600</v>
      </c>
      <c r="P309" s="116">
        <v>0</v>
      </c>
      <c r="Q309" s="116">
        <v>0</v>
      </c>
      <c r="R309" s="116">
        <f>0+0+0+0</f>
        <v>0</v>
      </c>
      <c r="S309" s="116">
        <v>0</v>
      </c>
      <c r="T309" s="116">
        <v>0</v>
      </c>
      <c r="U309" s="156">
        <f t="shared" si="94"/>
        <v>0</v>
      </c>
      <c r="V309" s="196">
        <f>+'Mensual VEME2019'!I790+'Mensual VEME2019'!I911+'Mensual VEME2019'!I1033</f>
        <v>0</v>
      </c>
      <c r="W309" s="196">
        <f t="shared" si="85"/>
        <v>0</v>
      </c>
      <c r="X309" s="196">
        <f>+'Mensual VEME2019'!L790+'Mensual VEME2019'!L911+'Mensual VEME2019'!L1033</f>
        <v>0</v>
      </c>
      <c r="Y309" s="196">
        <f t="shared" si="86"/>
        <v>0</v>
      </c>
      <c r="Z309" s="196">
        <f t="shared" si="87"/>
        <v>39600</v>
      </c>
      <c r="AA309" s="196">
        <f t="shared" si="88"/>
        <v>0</v>
      </c>
      <c r="AB309" s="196">
        <f t="shared" si="89"/>
        <v>0</v>
      </c>
      <c r="AC309" s="196">
        <f t="shared" si="90"/>
        <v>0</v>
      </c>
      <c r="AD309" s="197">
        <f t="shared" si="91"/>
        <v>0</v>
      </c>
      <c r="AE309" s="198">
        <f t="shared" si="92"/>
        <v>0</v>
      </c>
    </row>
    <row r="310" spans="1:31" s="40" customFormat="1">
      <c r="A310" s="152"/>
      <c r="B310" s="274" t="s">
        <v>65</v>
      </c>
      <c r="C310" s="275"/>
      <c r="D310" s="275"/>
      <c r="E310" s="275"/>
      <c r="F310" s="276"/>
      <c r="G310" s="277">
        <v>23750</v>
      </c>
      <c r="H310" s="292"/>
      <c r="I310" s="142">
        <v>17500</v>
      </c>
      <c r="J310" s="116">
        <v>0</v>
      </c>
      <c r="K310" s="116">
        <v>0</v>
      </c>
      <c r="L310" s="116">
        <v>3881.62</v>
      </c>
      <c r="M310" s="116">
        <v>0</v>
      </c>
      <c r="N310" s="116">
        <v>0</v>
      </c>
      <c r="O310" s="116">
        <f>3750+2500+15000</f>
        <v>21250</v>
      </c>
      <c r="P310" s="116">
        <v>0</v>
      </c>
      <c r="Q310" s="116">
        <v>0</v>
      </c>
      <c r="R310" s="116">
        <f>2126.81+1754.81</f>
        <v>3881.62</v>
      </c>
      <c r="S310" s="116">
        <v>0</v>
      </c>
      <c r="T310" s="116">
        <v>0</v>
      </c>
      <c r="U310" s="156">
        <f>R310/G310</f>
        <v>0.16343663157894736</v>
      </c>
      <c r="V310" s="196">
        <f>+'Mensual VEME2019'!I791+'Mensual VEME2019'!I912+'Mensual VEME2019'!I1034</f>
        <v>17500</v>
      </c>
      <c r="W310" s="196">
        <f t="shared" si="85"/>
        <v>0</v>
      </c>
      <c r="X310" s="196">
        <f>+'Mensual VEME2019'!L791+'Mensual VEME2019'!L912+'Mensual VEME2019'!L1034</f>
        <v>3881.62</v>
      </c>
      <c r="Y310" s="196">
        <f t="shared" si="86"/>
        <v>0</v>
      </c>
      <c r="Z310" s="196">
        <f t="shared" si="87"/>
        <v>21250</v>
      </c>
      <c r="AA310" s="196">
        <f t="shared" si="88"/>
        <v>0</v>
      </c>
      <c r="AB310" s="196">
        <f t="shared" si="89"/>
        <v>3881.62</v>
      </c>
      <c r="AC310" s="196">
        <f t="shared" si="90"/>
        <v>0</v>
      </c>
      <c r="AD310" s="197">
        <f t="shared" si="91"/>
        <v>0.16343663157894736</v>
      </c>
      <c r="AE310" s="198">
        <f t="shared" si="92"/>
        <v>0</v>
      </c>
    </row>
    <row r="311" spans="1:31" ht="15.75" thickBot="1">
      <c r="A311" s="23"/>
      <c r="B311" s="453"/>
      <c r="C311" s="454"/>
      <c r="D311" s="454"/>
      <c r="E311" s="454"/>
      <c r="F311" s="455"/>
      <c r="G311" s="456"/>
      <c r="H311" s="457"/>
      <c r="I311" s="139"/>
      <c r="J311" s="26"/>
      <c r="K311" s="26"/>
      <c r="L311" s="26"/>
      <c r="M311" s="26"/>
      <c r="N311" s="26"/>
      <c r="O311" s="26"/>
      <c r="P311" s="26"/>
      <c r="Q311" s="26"/>
      <c r="R311" s="26"/>
      <c r="S311" s="26"/>
      <c r="T311" s="26"/>
      <c r="U311" s="27"/>
    </row>
    <row r="312" spans="1:31" ht="15.75" thickBot="1">
      <c r="A312" s="23"/>
      <c r="B312" s="257" t="s">
        <v>21</v>
      </c>
      <c r="C312" s="258"/>
      <c r="D312" s="258"/>
      <c r="E312" s="258"/>
      <c r="F312" s="259"/>
      <c r="G312" s="260">
        <f>SUM(G290:H311)</f>
        <v>675408</v>
      </c>
      <c r="H312" s="261"/>
      <c r="I312" s="29">
        <f>SUM(I290:I311)</f>
        <v>161150</v>
      </c>
      <c r="J312" s="29"/>
      <c r="K312" s="29"/>
      <c r="L312" s="29">
        <f>SUM(L290:L311)</f>
        <v>271290.59999999998</v>
      </c>
      <c r="M312" s="29"/>
      <c r="N312" s="29"/>
      <c r="O312" s="29">
        <f>SUM(O290:O311)</f>
        <v>551158</v>
      </c>
      <c r="P312" s="29"/>
      <c r="Q312" s="29"/>
      <c r="R312" s="29">
        <f>SUM(R290:R311)</f>
        <v>408130.1</v>
      </c>
      <c r="S312" s="29"/>
      <c r="T312" s="30"/>
      <c r="U312" s="78">
        <f>R312/G312</f>
        <v>0.6042719363703124</v>
      </c>
      <c r="V312" s="196">
        <f>+'Mensual VEME2019'!I793+'Mensual VEME2019'!I914+'Mensual VEME2019'!I1036</f>
        <v>161150</v>
      </c>
      <c r="W312" s="196">
        <f>+I312-V312</f>
        <v>0</v>
      </c>
      <c r="X312" s="196">
        <f>+'Mensual VEME2019'!L793+'Mensual VEME2019'!L914+'Mensual VEME2019'!L1036</f>
        <v>271290.59999999998</v>
      </c>
      <c r="Y312" s="196">
        <f>+L312-X312</f>
        <v>0</v>
      </c>
      <c r="Z312" s="196">
        <f>+V312+O192</f>
        <v>551158</v>
      </c>
      <c r="AA312" s="196">
        <f>+O312-Z312</f>
        <v>0</v>
      </c>
      <c r="AB312" s="196">
        <f>+X312+R192</f>
        <v>408130.1</v>
      </c>
      <c r="AC312" s="196">
        <f>+R312-AB312</f>
        <v>0</v>
      </c>
      <c r="AD312" s="197">
        <f>+AB312/G312</f>
        <v>0.6042719363703124</v>
      </c>
      <c r="AE312" s="198">
        <f>+U312-AD312</f>
        <v>0</v>
      </c>
    </row>
    <row r="313" spans="1:31" ht="15.75" thickBot="1">
      <c r="A313" s="23"/>
      <c r="B313" s="297"/>
      <c r="C313" s="297"/>
      <c r="D313" s="297"/>
      <c r="E313" s="297"/>
      <c r="F313" s="297"/>
      <c r="G313" s="298"/>
      <c r="H313" s="298"/>
      <c r="I313" s="139"/>
      <c r="J313" s="139"/>
      <c r="K313" s="139"/>
      <c r="L313" s="139"/>
      <c r="M313" s="139"/>
      <c r="N313" s="139"/>
      <c r="O313" s="139"/>
      <c r="P313" s="139"/>
      <c r="Q313" s="139"/>
      <c r="R313" s="139"/>
      <c r="S313" s="139"/>
      <c r="T313" s="139"/>
      <c r="U313" s="72"/>
    </row>
    <row r="314" spans="1:31" ht="15.75" thickBot="1">
      <c r="A314" s="23"/>
      <c r="B314" s="284" t="s">
        <v>30</v>
      </c>
      <c r="C314" s="285"/>
      <c r="D314" s="285"/>
      <c r="E314" s="285"/>
      <c r="F314" s="285"/>
      <c r="G314" s="285"/>
      <c r="H314" s="285"/>
      <c r="I314" s="285"/>
      <c r="J314" s="285"/>
      <c r="K314" s="285"/>
      <c r="L314" s="285"/>
      <c r="M314" s="285"/>
      <c r="N314" s="285"/>
      <c r="O314" s="285"/>
      <c r="P314" s="285"/>
      <c r="Q314" s="285"/>
      <c r="R314" s="285"/>
      <c r="S314" s="285"/>
      <c r="T314" s="285"/>
      <c r="U314" s="286"/>
    </row>
    <row r="315" spans="1:31" s="40" customFormat="1" ht="15" customHeight="1">
      <c r="A315" s="152"/>
      <c r="B315" s="287" t="s">
        <v>80</v>
      </c>
      <c r="C315" s="288"/>
      <c r="D315" s="288"/>
      <c r="E315" s="288"/>
      <c r="F315" s="289"/>
      <c r="G315" s="290">
        <v>11500</v>
      </c>
      <c r="H315" s="291"/>
      <c r="I315" s="161">
        <v>11500</v>
      </c>
      <c r="J315" s="161">
        <v>0</v>
      </c>
      <c r="K315" s="161">
        <v>0</v>
      </c>
      <c r="L315" s="161">
        <v>9688.57</v>
      </c>
      <c r="M315" s="161">
        <v>0</v>
      </c>
      <c r="N315" s="161">
        <v>0</v>
      </c>
      <c r="O315" s="161">
        <f>11500+0</f>
        <v>11500</v>
      </c>
      <c r="P315" s="161">
        <v>0</v>
      </c>
      <c r="Q315" s="161">
        <v>0</v>
      </c>
      <c r="R315" s="161">
        <f>3804.87+5883.7</f>
        <v>9688.57</v>
      </c>
      <c r="S315" s="161">
        <v>0</v>
      </c>
      <c r="T315" s="141">
        <v>0</v>
      </c>
      <c r="U315" s="162">
        <f t="shared" ref="U315:U322" si="95">R315/G315</f>
        <v>0.84248434782608694</v>
      </c>
      <c r="V315" s="196">
        <f>+'Mensual VEME2019'!I796+'Mensual VEME2019'!I917+'Mensual VEME2019'!I1039</f>
        <v>11500</v>
      </c>
      <c r="W315" s="196">
        <f t="shared" ref="W315:W322" si="96">+I315-V315</f>
        <v>0</v>
      </c>
      <c r="X315" s="196">
        <f>+'Mensual VEME2019'!L796+'Mensual VEME2019'!L917+'Mensual VEME2019'!L1039</f>
        <v>9688.57</v>
      </c>
      <c r="Y315" s="196">
        <f t="shared" ref="Y315:Y322" si="97">+L315-X315</f>
        <v>0</v>
      </c>
      <c r="Z315" s="196">
        <f t="shared" ref="Z315:Z322" si="98">+V315+O195</f>
        <v>11500</v>
      </c>
      <c r="AA315" s="196">
        <f t="shared" ref="AA315:AA322" si="99">+O315-Z315</f>
        <v>0</v>
      </c>
      <c r="AB315" s="196">
        <f t="shared" ref="AB315:AB322" si="100">+X315+R195</f>
        <v>9688.57</v>
      </c>
      <c r="AC315" s="196">
        <f t="shared" ref="AC315:AC322" si="101">+R315-AB315</f>
        <v>0</v>
      </c>
      <c r="AD315" s="197">
        <f t="shared" ref="AD315:AD322" si="102">+AB315/G315</f>
        <v>0.84248434782608694</v>
      </c>
      <c r="AE315" s="198">
        <f t="shared" ref="AE315:AE322" si="103">+U315-AD315</f>
        <v>0</v>
      </c>
    </row>
    <row r="316" spans="1:31" s="40" customFormat="1">
      <c r="A316" s="152"/>
      <c r="B316" s="274" t="s">
        <v>124</v>
      </c>
      <c r="C316" s="275"/>
      <c r="D316" s="275"/>
      <c r="E316" s="275"/>
      <c r="F316" s="276"/>
      <c r="G316" s="277">
        <v>30000</v>
      </c>
      <c r="H316" s="278"/>
      <c r="I316" s="116">
        <v>0</v>
      </c>
      <c r="J316" s="116">
        <v>0</v>
      </c>
      <c r="K316" s="116">
        <v>0</v>
      </c>
      <c r="L316" s="116">
        <v>0</v>
      </c>
      <c r="M316" s="116">
        <v>0</v>
      </c>
      <c r="N316" s="116">
        <v>0</v>
      </c>
      <c r="O316" s="116">
        <v>0</v>
      </c>
      <c r="P316" s="116">
        <v>0</v>
      </c>
      <c r="Q316" s="116">
        <v>0</v>
      </c>
      <c r="R316" s="116">
        <v>0</v>
      </c>
      <c r="S316" s="116">
        <v>0</v>
      </c>
      <c r="T316" s="117">
        <v>0</v>
      </c>
      <c r="U316" s="153">
        <f t="shared" si="95"/>
        <v>0</v>
      </c>
      <c r="V316" s="196">
        <f>+'Mensual VEME2019'!I797+'Mensual VEME2019'!I918+'Mensual VEME2019'!I1040</f>
        <v>0</v>
      </c>
      <c r="W316" s="196">
        <f t="shared" si="96"/>
        <v>0</v>
      </c>
      <c r="X316" s="196">
        <f>+'Mensual VEME2019'!L797+'Mensual VEME2019'!L918+'Mensual VEME2019'!L1040</f>
        <v>0</v>
      </c>
      <c r="Y316" s="196">
        <f t="shared" si="97"/>
        <v>0</v>
      </c>
      <c r="Z316" s="196">
        <f t="shared" si="98"/>
        <v>0</v>
      </c>
      <c r="AA316" s="196">
        <f t="shared" si="99"/>
        <v>0</v>
      </c>
      <c r="AB316" s="196">
        <f t="shared" si="100"/>
        <v>0</v>
      </c>
      <c r="AC316" s="196">
        <f t="shared" si="101"/>
        <v>0</v>
      </c>
      <c r="AD316" s="197">
        <f t="shared" si="102"/>
        <v>0</v>
      </c>
      <c r="AE316" s="198">
        <f t="shared" si="103"/>
        <v>0</v>
      </c>
    </row>
    <row r="317" spans="1:31" s="40" customFormat="1" ht="15" customHeight="1">
      <c r="A317" s="152"/>
      <c r="B317" s="274" t="s">
        <v>123</v>
      </c>
      <c r="C317" s="275"/>
      <c r="D317" s="275"/>
      <c r="E317" s="275"/>
      <c r="F317" s="276"/>
      <c r="G317" s="277">
        <v>12328</v>
      </c>
      <c r="H317" s="278"/>
      <c r="I317" s="116">
        <v>0</v>
      </c>
      <c r="J317" s="116">
        <v>0</v>
      </c>
      <c r="K317" s="116">
        <v>0</v>
      </c>
      <c r="L317" s="116">
        <v>0</v>
      </c>
      <c r="M317" s="116">
        <v>0</v>
      </c>
      <c r="N317" s="116">
        <v>0</v>
      </c>
      <c r="O317" s="116">
        <v>12328</v>
      </c>
      <c r="P317" s="116">
        <v>0</v>
      </c>
      <c r="Q317" s="116">
        <v>0</v>
      </c>
      <c r="R317" s="116">
        <v>12328</v>
      </c>
      <c r="S317" s="116">
        <v>0</v>
      </c>
      <c r="T317" s="117">
        <v>0</v>
      </c>
      <c r="U317" s="153">
        <f t="shared" si="95"/>
        <v>1</v>
      </c>
      <c r="V317" s="196">
        <f>+'Mensual VEME2019'!I798+'Mensual VEME2019'!I919+'Mensual VEME2019'!I1041</f>
        <v>0</v>
      </c>
      <c r="W317" s="196">
        <f t="shared" si="96"/>
        <v>0</v>
      </c>
      <c r="X317" s="196">
        <f>+'Mensual VEME2019'!L798+'Mensual VEME2019'!L919+'Mensual VEME2019'!L1041</f>
        <v>0</v>
      </c>
      <c r="Y317" s="196">
        <f t="shared" si="97"/>
        <v>0</v>
      </c>
      <c r="Z317" s="196">
        <f t="shared" si="98"/>
        <v>12328</v>
      </c>
      <c r="AA317" s="196">
        <f t="shared" si="99"/>
        <v>0</v>
      </c>
      <c r="AB317" s="196">
        <f t="shared" si="100"/>
        <v>12328</v>
      </c>
      <c r="AC317" s="196">
        <f t="shared" si="101"/>
        <v>0</v>
      </c>
      <c r="AD317" s="197">
        <f t="shared" si="102"/>
        <v>1</v>
      </c>
      <c r="AE317" s="198">
        <f t="shared" si="103"/>
        <v>0</v>
      </c>
    </row>
    <row r="318" spans="1:31" s="40" customFormat="1" ht="15" customHeight="1">
      <c r="A318" s="152"/>
      <c r="B318" s="274" t="s">
        <v>66</v>
      </c>
      <c r="C318" s="275"/>
      <c r="D318" s="275"/>
      <c r="E318" s="275"/>
      <c r="F318" s="276"/>
      <c r="G318" s="277">
        <v>16000</v>
      </c>
      <c r="H318" s="278"/>
      <c r="I318" s="116">
        <v>0</v>
      </c>
      <c r="J318" s="116">
        <v>0</v>
      </c>
      <c r="K318" s="116">
        <v>0</v>
      </c>
      <c r="L318" s="116">
        <v>0</v>
      </c>
      <c r="M318" s="116">
        <v>0</v>
      </c>
      <c r="N318" s="116">
        <v>0</v>
      </c>
      <c r="O318" s="116">
        <v>16000</v>
      </c>
      <c r="P318" s="116">
        <v>0</v>
      </c>
      <c r="Q318" s="116">
        <v>0</v>
      </c>
      <c r="R318" s="116">
        <f>0+0+0+0+6710.67+9289.33</f>
        <v>16000</v>
      </c>
      <c r="S318" s="116">
        <v>0</v>
      </c>
      <c r="T318" s="117">
        <v>0</v>
      </c>
      <c r="U318" s="153">
        <f t="shared" si="95"/>
        <v>1</v>
      </c>
      <c r="V318" s="196">
        <f>+'Mensual VEME2019'!I799+'Mensual VEME2019'!I920+'Mensual VEME2019'!I1042</f>
        <v>0</v>
      </c>
      <c r="W318" s="196">
        <f t="shared" si="96"/>
        <v>0</v>
      </c>
      <c r="X318" s="196">
        <f>+'Mensual VEME2019'!L799+'Mensual VEME2019'!L920+'Mensual VEME2019'!L1042</f>
        <v>0</v>
      </c>
      <c r="Y318" s="196">
        <f t="shared" si="97"/>
        <v>0</v>
      </c>
      <c r="Z318" s="196">
        <f t="shared" si="98"/>
        <v>16000</v>
      </c>
      <c r="AA318" s="196">
        <f t="shared" si="99"/>
        <v>0</v>
      </c>
      <c r="AB318" s="196">
        <f t="shared" si="100"/>
        <v>16000</v>
      </c>
      <c r="AC318" s="196">
        <f t="shared" si="101"/>
        <v>0</v>
      </c>
      <c r="AD318" s="197">
        <f t="shared" si="102"/>
        <v>1</v>
      </c>
      <c r="AE318" s="198">
        <f t="shared" si="103"/>
        <v>0</v>
      </c>
    </row>
    <row r="319" spans="1:31" s="40" customFormat="1" ht="15" customHeight="1">
      <c r="A319" s="152"/>
      <c r="B319" s="274" t="s">
        <v>67</v>
      </c>
      <c r="C319" s="275"/>
      <c r="D319" s="275"/>
      <c r="E319" s="275"/>
      <c r="F319" s="276"/>
      <c r="G319" s="277">
        <v>15000</v>
      </c>
      <c r="H319" s="278"/>
      <c r="I319" s="116">
        <v>0</v>
      </c>
      <c r="J319" s="116">
        <v>0</v>
      </c>
      <c r="K319" s="116">
        <v>0</v>
      </c>
      <c r="L319" s="116">
        <v>0</v>
      </c>
      <c r="M319" s="116">
        <v>0</v>
      </c>
      <c r="N319" s="116">
        <v>0</v>
      </c>
      <c r="O319" s="116">
        <v>0</v>
      </c>
      <c r="P319" s="116">
        <v>0</v>
      </c>
      <c r="Q319" s="116">
        <v>0</v>
      </c>
      <c r="R319" s="116">
        <v>0</v>
      </c>
      <c r="S319" s="116">
        <v>0</v>
      </c>
      <c r="T319" s="117">
        <v>0</v>
      </c>
      <c r="U319" s="153">
        <f t="shared" si="95"/>
        <v>0</v>
      </c>
      <c r="V319" s="196">
        <f>+'Mensual VEME2019'!I800+'Mensual VEME2019'!I921+'Mensual VEME2019'!I1043</f>
        <v>0</v>
      </c>
      <c r="W319" s="196">
        <f t="shared" si="96"/>
        <v>0</v>
      </c>
      <c r="X319" s="196">
        <f>+'Mensual VEME2019'!L800+'Mensual VEME2019'!L921+'Mensual VEME2019'!L1043</f>
        <v>0</v>
      </c>
      <c r="Y319" s="196">
        <f t="shared" si="97"/>
        <v>0</v>
      </c>
      <c r="Z319" s="196">
        <f t="shared" si="98"/>
        <v>0</v>
      </c>
      <c r="AA319" s="196">
        <f t="shared" si="99"/>
        <v>0</v>
      </c>
      <c r="AB319" s="196">
        <f t="shared" si="100"/>
        <v>0</v>
      </c>
      <c r="AC319" s="196">
        <f t="shared" si="101"/>
        <v>0</v>
      </c>
      <c r="AD319" s="197">
        <f t="shared" si="102"/>
        <v>0</v>
      </c>
      <c r="AE319" s="198">
        <f t="shared" si="103"/>
        <v>0</v>
      </c>
    </row>
    <row r="320" spans="1:31" s="40" customFormat="1" ht="15" customHeight="1">
      <c r="A320" s="152"/>
      <c r="B320" s="274" t="s">
        <v>93</v>
      </c>
      <c r="C320" s="275"/>
      <c r="D320" s="275"/>
      <c r="E320" s="275"/>
      <c r="F320" s="276"/>
      <c r="G320" s="277">
        <v>12000</v>
      </c>
      <c r="H320" s="278"/>
      <c r="I320" s="116">
        <v>6000</v>
      </c>
      <c r="J320" s="116">
        <v>0</v>
      </c>
      <c r="K320" s="116">
        <v>0</v>
      </c>
      <c r="L320" s="116">
        <v>12000</v>
      </c>
      <c r="M320" s="116">
        <v>0</v>
      </c>
      <c r="N320" s="116">
        <v>0</v>
      </c>
      <c r="O320" s="116">
        <f>6000+6000</f>
        <v>12000</v>
      </c>
      <c r="P320" s="116">
        <v>0</v>
      </c>
      <c r="Q320" s="116">
        <v>0</v>
      </c>
      <c r="R320" s="116">
        <v>12000</v>
      </c>
      <c r="S320" s="116">
        <v>0</v>
      </c>
      <c r="T320" s="117">
        <v>0</v>
      </c>
      <c r="U320" s="153">
        <f t="shared" si="95"/>
        <v>1</v>
      </c>
      <c r="V320" s="196">
        <f>+'Mensual VEME2019'!I801+'Mensual VEME2019'!I922+'Mensual VEME2019'!I1044</f>
        <v>6000</v>
      </c>
      <c r="W320" s="196">
        <f t="shared" si="96"/>
        <v>0</v>
      </c>
      <c r="X320" s="196">
        <f>+'Mensual VEME2019'!L801+'Mensual VEME2019'!L922+'Mensual VEME2019'!L1044</f>
        <v>12000</v>
      </c>
      <c r="Y320" s="196">
        <f t="shared" si="97"/>
        <v>0</v>
      </c>
      <c r="Z320" s="196">
        <f t="shared" si="98"/>
        <v>12000</v>
      </c>
      <c r="AA320" s="196">
        <f t="shared" si="99"/>
        <v>0</v>
      </c>
      <c r="AB320" s="196">
        <f t="shared" si="100"/>
        <v>12000</v>
      </c>
      <c r="AC320" s="196">
        <f t="shared" si="101"/>
        <v>0</v>
      </c>
      <c r="AD320" s="197">
        <f t="shared" si="102"/>
        <v>1</v>
      </c>
      <c r="AE320" s="198">
        <f t="shared" si="103"/>
        <v>0</v>
      </c>
    </row>
    <row r="321" spans="1:31" s="40" customFormat="1" ht="15" customHeight="1">
      <c r="A321" s="152"/>
      <c r="B321" s="274" t="s">
        <v>69</v>
      </c>
      <c r="C321" s="275"/>
      <c r="D321" s="275"/>
      <c r="E321" s="275"/>
      <c r="F321" s="276"/>
      <c r="G321" s="277">
        <v>4400</v>
      </c>
      <c r="H321" s="278"/>
      <c r="I321" s="116">
        <v>0</v>
      </c>
      <c r="J321" s="116">
        <v>0</v>
      </c>
      <c r="K321" s="116">
        <v>0</v>
      </c>
      <c r="L321" s="116">
        <v>2999.56</v>
      </c>
      <c r="M321" s="116">
        <v>0</v>
      </c>
      <c r="N321" s="116">
        <v>0</v>
      </c>
      <c r="O321" s="116">
        <v>4400</v>
      </c>
      <c r="P321" s="116">
        <v>0</v>
      </c>
      <c r="Q321" s="116">
        <v>0</v>
      </c>
      <c r="R321" s="116">
        <f>1952.17+1047.39</f>
        <v>2999.5600000000004</v>
      </c>
      <c r="S321" s="116">
        <v>0</v>
      </c>
      <c r="T321" s="117">
        <v>0</v>
      </c>
      <c r="U321" s="153">
        <f t="shared" si="95"/>
        <v>0.68171818181818189</v>
      </c>
      <c r="V321" s="196">
        <f>+'Mensual VEME2019'!I802+'Mensual VEME2019'!I923+'Mensual VEME2019'!I1045</f>
        <v>0</v>
      </c>
      <c r="W321" s="196">
        <f t="shared" si="96"/>
        <v>0</v>
      </c>
      <c r="X321" s="196">
        <f>+'Mensual VEME2019'!L802+'Mensual VEME2019'!L923+'Mensual VEME2019'!L1045</f>
        <v>2999.5600000000004</v>
      </c>
      <c r="Y321" s="196">
        <f t="shared" si="97"/>
        <v>0</v>
      </c>
      <c r="Z321" s="196">
        <f t="shared" si="98"/>
        <v>4400</v>
      </c>
      <c r="AA321" s="196">
        <f t="shared" si="99"/>
        <v>0</v>
      </c>
      <c r="AB321" s="196">
        <f t="shared" si="100"/>
        <v>2999.5600000000004</v>
      </c>
      <c r="AC321" s="196">
        <f t="shared" si="101"/>
        <v>0</v>
      </c>
      <c r="AD321" s="197">
        <f t="shared" si="102"/>
        <v>0.68171818181818189</v>
      </c>
      <c r="AE321" s="198">
        <f t="shared" si="103"/>
        <v>0</v>
      </c>
    </row>
    <row r="322" spans="1:31" s="40" customFormat="1" ht="15" customHeight="1">
      <c r="A322" s="152"/>
      <c r="B322" s="274" t="s">
        <v>94</v>
      </c>
      <c r="C322" s="275"/>
      <c r="D322" s="275"/>
      <c r="E322" s="275"/>
      <c r="F322" s="276"/>
      <c r="G322" s="277">
        <v>3200</v>
      </c>
      <c r="H322" s="278"/>
      <c r="I322" s="116">
        <v>1600</v>
      </c>
      <c r="J322" s="116">
        <v>0</v>
      </c>
      <c r="K322" s="116">
        <v>0</v>
      </c>
      <c r="L322" s="116">
        <v>2289</v>
      </c>
      <c r="M322" s="116">
        <v>0</v>
      </c>
      <c r="N322" s="116">
        <v>0</v>
      </c>
      <c r="O322" s="116">
        <f>800+800+800</f>
        <v>2400</v>
      </c>
      <c r="P322" s="116">
        <v>0</v>
      </c>
      <c r="Q322" s="116">
        <v>0</v>
      </c>
      <c r="R322" s="116">
        <f>2289</f>
        <v>2289</v>
      </c>
      <c r="S322" s="116">
        <v>0</v>
      </c>
      <c r="T322" s="117">
        <v>0</v>
      </c>
      <c r="U322" s="153">
        <f t="shared" si="95"/>
        <v>0.71531250000000002</v>
      </c>
      <c r="V322" s="196">
        <f>+'Mensual VEME2019'!I803+'Mensual VEME2019'!I924+'Mensual VEME2019'!I1046</f>
        <v>1600</v>
      </c>
      <c r="W322" s="196">
        <f t="shared" si="96"/>
        <v>0</v>
      </c>
      <c r="X322" s="196">
        <f>+'Mensual VEME2019'!L803+'Mensual VEME2019'!L924+'Mensual VEME2019'!L1046</f>
        <v>2289</v>
      </c>
      <c r="Y322" s="196">
        <f t="shared" si="97"/>
        <v>0</v>
      </c>
      <c r="Z322" s="196">
        <f t="shared" si="98"/>
        <v>2400</v>
      </c>
      <c r="AA322" s="196">
        <f t="shared" si="99"/>
        <v>0</v>
      </c>
      <c r="AB322" s="196">
        <f t="shared" si="100"/>
        <v>2289</v>
      </c>
      <c r="AC322" s="196">
        <f t="shared" si="101"/>
        <v>0</v>
      </c>
      <c r="AD322" s="197">
        <f t="shared" si="102"/>
        <v>0.71531250000000002</v>
      </c>
      <c r="AE322" s="198">
        <f t="shared" si="103"/>
        <v>0</v>
      </c>
    </row>
    <row r="323" spans="1:31" ht="15.75" thickBot="1">
      <c r="A323" s="23"/>
      <c r="B323" s="469"/>
      <c r="C323" s="297"/>
      <c r="D323" s="297"/>
      <c r="E323" s="297"/>
      <c r="F323" s="470"/>
      <c r="G323" s="456"/>
      <c r="H323" s="468"/>
      <c r="I323" s="55"/>
      <c r="J323" s="55"/>
      <c r="K323" s="55"/>
      <c r="L323" s="55"/>
      <c r="M323" s="55"/>
      <c r="N323" s="55"/>
      <c r="O323" s="55"/>
      <c r="P323" s="55"/>
      <c r="Q323" s="55"/>
      <c r="R323" s="55"/>
      <c r="S323" s="55"/>
      <c r="T323" s="76"/>
      <c r="U323" s="77"/>
    </row>
    <row r="324" spans="1:31" ht="15.75" thickBot="1">
      <c r="A324" s="23"/>
      <c r="B324" s="257" t="s">
        <v>21</v>
      </c>
      <c r="C324" s="258"/>
      <c r="D324" s="258"/>
      <c r="E324" s="258"/>
      <c r="F324" s="259"/>
      <c r="G324" s="260">
        <f>SUM(G315:H323)</f>
        <v>104428</v>
      </c>
      <c r="H324" s="261"/>
      <c r="I324" s="29">
        <f>SUM(I315:I323)</f>
        <v>19100</v>
      </c>
      <c r="J324" s="29"/>
      <c r="K324" s="29"/>
      <c r="L324" s="29">
        <f>SUM(L315:L323)</f>
        <v>26977.13</v>
      </c>
      <c r="M324" s="29"/>
      <c r="N324" s="29"/>
      <c r="O324" s="29">
        <f>SUM(O315:O323)</f>
        <v>58628</v>
      </c>
      <c r="P324" s="29"/>
      <c r="Q324" s="29"/>
      <c r="R324" s="29">
        <f>SUM(R315:R323)</f>
        <v>55305.13</v>
      </c>
      <c r="S324" s="30"/>
      <c r="T324" s="73"/>
      <c r="U324" s="71">
        <f t="shared" ref="U324" si="104">R324/G324</f>
        <v>0.52960058604971849</v>
      </c>
      <c r="V324" s="196">
        <f>+'Mensual VEME2019'!I805+'Mensual VEME2019'!I926+'Mensual VEME2019'!I1048</f>
        <v>19100</v>
      </c>
      <c r="W324" s="196">
        <f>+I324-V324</f>
        <v>0</v>
      </c>
      <c r="X324" s="196">
        <f>+'Mensual VEME2019'!L805+'Mensual VEME2019'!L926+'Mensual VEME2019'!L1048</f>
        <v>26977.13</v>
      </c>
      <c r="Y324" s="196">
        <f>+L324-X324</f>
        <v>0</v>
      </c>
      <c r="Z324" s="196">
        <f>+V324+O204</f>
        <v>58628</v>
      </c>
      <c r="AA324" s="196">
        <f>+O324-Z324</f>
        <v>0</v>
      </c>
      <c r="AB324" s="196">
        <f>+X324+R204</f>
        <v>55305.130000000005</v>
      </c>
      <c r="AC324" s="196">
        <f>+R324-AB324</f>
        <v>0</v>
      </c>
      <c r="AD324" s="197">
        <f>+AB324/G324</f>
        <v>0.52960058604971849</v>
      </c>
      <c r="AE324" s="198">
        <f>+U324-AD324</f>
        <v>0</v>
      </c>
    </row>
    <row r="325" spans="1:31" ht="15.75" thickBot="1">
      <c r="C325" s="32"/>
      <c r="I325" s="104">
        <f>SUM(I312,I324)</f>
        <v>180250</v>
      </c>
      <c r="J325" s="130"/>
      <c r="K325" s="130"/>
      <c r="L325" s="104">
        <f>SUM(L312,L324)</f>
        <v>298267.73</v>
      </c>
      <c r="M325" s="130"/>
      <c r="N325" s="131"/>
      <c r="O325" s="104">
        <f>SUM(O312,O324)</f>
        <v>609786</v>
      </c>
      <c r="P325" s="130"/>
      <c r="Q325" s="130"/>
      <c r="R325" s="104">
        <f>SUM(R312,R324)</f>
        <v>463435.23</v>
      </c>
      <c r="U325" s="33"/>
    </row>
    <row r="326" spans="1:31" ht="15.75" thickBot="1">
      <c r="B326" s="262" t="s">
        <v>31</v>
      </c>
      <c r="C326" s="263"/>
      <c r="D326" s="263"/>
      <c r="E326" s="263"/>
      <c r="F326" s="263"/>
      <c r="G326" s="263"/>
      <c r="H326" s="263"/>
      <c r="I326" s="263"/>
      <c r="J326" s="263"/>
      <c r="K326" s="263"/>
      <c r="L326" s="263"/>
      <c r="M326" s="263"/>
      <c r="N326" s="263"/>
      <c r="O326" s="263"/>
      <c r="P326" s="263"/>
      <c r="Q326" s="263"/>
      <c r="R326" s="263"/>
      <c r="S326" s="263"/>
      <c r="T326" s="263"/>
      <c r="U326" s="263"/>
      <c r="V326" s="34"/>
    </row>
    <row r="327" spans="1:31" ht="15" customHeight="1" thickBot="1">
      <c r="B327" s="264"/>
      <c r="C327" s="265"/>
      <c r="D327" s="267" t="s">
        <v>15</v>
      </c>
      <c r="E327" s="268"/>
      <c r="F327" s="268"/>
      <c r="G327" s="268"/>
      <c r="H327" s="268"/>
      <c r="I327" s="269"/>
      <c r="J327" s="267" t="s">
        <v>122</v>
      </c>
      <c r="K327" s="268"/>
      <c r="L327" s="268"/>
      <c r="M327" s="268"/>
      <c r="N327" s="268"/>
      <c r="O327" s="269"/>
      <c r="P327" s="267" t="s">
        <v>121</v>
      </c>
      <c r="Q327" s="268"/>
      <c r="R327" s="268"/>
      <c r="S327" s="268"/>
      <c r="T327" s="268"/>
      <c r="U327" s="269"/>
    </row>
    <row r="328" spans="1:31" ht="15.75" customHeight="1" thickBot="1">
      <c r="B328" s="219"/>
      <c r="C328" s="266"/>
      <c r="D328" s="270" t="s">
        <v>26</v>
      </c>
      <c r="E328" s="271"/>
      <c r="F328" s="272" t="s">
        <v>27</v>
      </c>
      <c r="G328" s="273"/>
      <c r="H328" s="268" t="s">
        <v>28</v>
      </c>
      <c r="I328" s="269"/>
      <c r="J328" s="272" t="s">
        <v>26</v>
      </c>
      <c r="K328" s="273"/>
      <c r="L328" s="272" t="s">
        <v>27</v>
      </c>
      <c r="M328" s="273"/>
      <c r="N328" s="268" t="s">
        <v>28</v>
      </c>
      <c r="O328" s="269"/>
      <c r="P328" s="272" t="s">
        <v>26</v>
      </c>
      <c r="Q328" s="273"/>
      <c r="R328" s="272" t="s">
        <v>27</v>
      </c>
      <c r="S328" s="273"/>
      <c r="T328" s="268" t="s">
        <v>28</v>
      </c>
      <c r="U328" s="269"/>
    </row>
    <row r="329" spans="1:31" ht="30" customHeight="1">
      <c r="A329" s="23"/>
      <c r="B329" s="250" t="s">
        <v>33</v>
      </c>
      <c r="C329" s="251"/>
      <c r="D329" s="252">
        <v>675408</v>
      </c>
      <c r="E329" s="253"/>
      <c r="F329" s="252">
        <v>0</v>
      </c>
      <c r="G329" s="253"/>
      <c r="H329" s="252">
        <v>0</v>
      </c>
      <c r="I329" s="253"/>
      <c r="J329" s="254">
        <v>271290.59999999998</v>
      </c>
      <c r="K329" s="255"/>
      <c r="L329" s="240">
        <v>0</v>
      </c>
      <c r="M329" s="253"/>
      <c r="N329" s="240">
        <v>0</v>
      </c>
      <c r="O329" s="256"/>
      <c r="P329" s="254">
        <f>23416.71+27887.03+23419.61+20279.25+15856.72+25980.18+94293.4+96348.75+80648.45</f>
        <v>408130.10000000003</v>
      </c>
      <c r="Q329" s="255"/>
      <c r="R329" s="240">
        <v>0</v>
      </c>
      <c r="S329" s="253"/>
      <c r="T329" s="240">
        <v>0</v>
      </c>
      <c r="U329" s="241"/>
    </row>
    <row r="330" spans="1:31" ht="30" customHeight="1" thickBot="1">
      <c r="A330" s="4"/>
      <c r="B330" s="242" t="s">
        <v>34</v>
      </c>
      <c r="C330" s="243"/>
      <c r="D330" s="244">
        <v>104428</v>
      </c>
      <c r="E330" s="245"/>
      <c r="F330" s="244">
        <v>0</v>
      </c>
      <c r="G330" s="245"/>
      <c r="H330" s="244">
        <v>0</v>
      </c>
      <c r="I330" s="245"/>
      <c r="J330" s="244">
        <v>26977.13</v>
      </c>
      <c r="K330" s="245"/>
      <c r="L330" s="246">
        <v>0</v>
      </c>
      <c r="M330" s="245"/>
      <c r="N330" s="246">
        <v>0</v>
      </c>
      <c r="O330" s="247"/>
      <c r="P330" s="248">
        <f>0+0+0+12328+6710.67+9289.33+1952.17+6093.87+18931.09</f>
        <v>55305.130000000005</v>
      </c>
      <c r="Q330" s="249"/>
      <c r="R330" s="246">
        <v>0</v>
      </c>
      <c r="S330" s="245"/>
      <c r="T330" s="246">
        <v>0</v>
      </c>
      <c r="U330" s="247"/>
    </row>
    <row r="331" spans="1:31" ht="15.75" thickBot="1">
      <c r="A331" s="23"/>
      <c r="B331" s="233" t="s">
        <v>21</v>
      </c>
      <c r="C331" s="234"/>
      <c r="D331" s="235">
        <f>SUM(D329:E330)</f>
        <v>779836</v>
      </c>
      <c r="E331" s="236"/>
      <c r="F331" s="235">
        <f>SUM(F329:G330)</f>
        <v>0</v>
      </c>
      <c r="G331" s="236"/>
      <c r="H331" s="235">
        <f>SUM(H329:I330)</f>
        <v>0</v>
      </c>
      <c r="I331" s="236"/>
      <c r="J331" s="237">
        <f>SUM(J329:K330)</f>
        <v>298267.73</v>
      </c>
      <c r="K331" s="238"/>
      <c r="L331" s="215">
        <f>SUM(L329:M330)</f>
        <v>0</v>
      </c>
      <c r="M331" s="238"/>
      <c r="N331" s="236">
        <f>SUM(N329:O330)</f>
        <v>0</v>
      </c>
      <c r="O331" s="236"/>
      <c r="P331" s="237">
        <f>SUM(P329:Q330)</f>
        <v>463435.23000000004</v>
      </c>
      <c r="Q331" s="239"/>
      <c r="R331" s="215">
        <f>SUM(R329:S330)</f>
        <v>0</v>
      </c>
      <c r="S331" s="238"/>
      <c r="T331" s="215">
        <f>SUM(T329:U330)</f>
        <v>0</v>
      </c>
      <c r="U331" s="216"/>
    </row>
    <row r="332" spans="1:31">
      <c r="A332" s="23"/>
      <c r="B332" s="135"/>
      <c r="C332" s="135"/>
      <c r="D332" s="135"/>
      <c r="E332" s="135"/>
      <c r="F332" s="133"/>
      <c r="G332" s="133"/>
      <c r="H332" s="140"/>
      <c r="I332" s="140"/>
      <c r="J332" s="133"/>
      <c r="K332" s="133"/>
      <c r="L332" s="115"/>
      <c r="M332" s="140"/>
      <c r="N332" s="133"/>
      <c r="O332" s="140"/>
      <c r="P332" s="140"/>
      <c r="Q332" s="133"/>
      <c r="R332" s="23"/>
      <c r="S332" s="23"/>
      <c r="T332" s="23"/>
      <c r="U332" s="23"/>
    </row>
    <row r="333" spans="1:31" ht="15.75" thickBot="1">
      <c r="A333" s="23"/>
      <c r="B333" s="135"/>
      <c r="C333" s="135"/>
      <c r="D333" s="135"/>
      <c r="E333" s="135"/>
      <c r="F333" s="133"/>
      <c r="G333" s="133"/>
      <c r="H333" s="133"/>
      <c r="I333" s="157"/>
      <c r="J333" s="133"/>
      <c r="K333" s="133"/>
      <c r="L333" s="133"/>
      <c r="M333" s="133"/>
      <c r="N333" s="133"/>
      <c r="O333" s="133"/>
      <c r="P333" s="133"/>
      <c r="Q333" s="133"/>
      <c r="R333" s="23"/>
      <c r="S333" s="23"/>
      <c r="T333" s="23"/>
      <c r="U333" s="23"/>
    </row>
    <row r="334" spans="1:31" ht="15.75" thickBot="1">
      <c r="B334" s="217" t="s">
        <v>35</v>
      </c>
      <c r="C334" s="218"/>
      <c r="D334" s="218"/>
      <c r="E334" s="219"/>
      <c r="F334" s="205"/>
      <c r="G334" s="205"/>
      <c r="H334" s="205"/>
      <c r="I334" s="205"/>
      <c r="J334" s="205"/>
      <c r="K334" s="205"/>
      <c r="L334" s="205"/>
      <c r="M334" s="205"/>
      <c r="N334" s="205"/>
      <c r="O334" s="205"/>
      <c r="P334" s="205"/>
      <c r="Q334" s="205"/>
      <c r="R334" s="205"/>
      <c r="S334" s="205"/>
      <c r="T334" s="205"/>
      <c r="U334" s="205"/>
    </row>
    <row r="335" spans="1:31">
      <c r="B335" s="444"/>
      <c r="C335" s="445"/>
      <c r="D335" s="445"/>
      <c r="E335" s="445"/>
      <c r="F335" s="445"/>
      <c r="G335" s="445"/>
      <c r="H335" s="445"/>
      <c r="I335" s="445"/>
      <c r="J335" s="445"/>
      <c r="K335" s="445"/>
      <c r="L335" s="445"/>
      <c r="M335" s="445"/>
      <c r="N335" s="445"/>
      <c r="O335" s="445"/>
      <c r="P335" s="445"/>
      <c r="Q335" s="445"/>
      <c r="R335" s="445"/>
      <c r="S335" s="445"/>
      <c r="T335" s="445"/>
      <c r="U335" s="446"/>
    </row>
    <row r="336" spans="1:31">
      <c r="B336" s="447"/>
      <c r="C336" s="448"/>
      <c r="D336" s="448"/>
      <c r="E336" s="448"/>
      <c r="F336" s="448"/>
      <c r="G336" s="448"/>
      <c r="H336" s="448"/>
      <c r="I336" s="448"/>
      <c r="J336" s="448"/>
      <c r="K336" s="448"/>
      <c r="L336" s="448"/>
      <c r="M336" s="448"/>
      <c r="N336" s="448"/>
      <c r="O336" s="448"/>
      <c r="P336" s="448"/>
      <c r="Q336" s="448"/>
      <c r="R336" s="448"/>
      <c r="S336" s="448"/>
      <c r="T336" s="448"/>
      <c r="U336" s="449"/>
    </row>
    <row r="337" spans="2:21">
      <c r="B337" s="447"/>
      <c r="C337" s="448"/>
      <c r="D337" s="448"/>
      <c r="E337" s="448"/>
      <c r="F337" s="448"/>
      <c r="G337" s="448"/>
      <c r="H337" s="448"/>
      <c r="I337" s="448"/>
      <c r="J337" s="448"/>
      <c r="K337" s="448"/>
      <c r="L337" s="448"/>
      <c r="M337" s="448"/>
      <c r="N337" s="448"/>
      <c r="O337" s="448"/>
      <c r="P337" s="448"/>
      <c r="Q337" s="448"/>
      <c r="R337" s="448"/>
      <c r="S337" s="448"/>
      <c r="T337" s="448"/>
      <c r="U337" s="449"/>
    </row>
    <row r="338" spans="2:21">
      <c r="B338" s="447"/>
      <c r="C338" s="448"/>
      <c r="D338" s="448"/>
      <c r="E338" s="448"/>
      <c r="F338" s="448"/>
      <c r="G338" s="448"/>
      <c r="H338" s="448"/>
      <c r="I338" s="448"/>
      <c r="J338" s="448"/>
      <c r="K338" s="448"/>
      <c r="L338" s="448"/>
      <c r="M338" s="448"/>
      <c r="N338" s="448"/>
      <c r="O338" s="448"/>
      <c r="P338" s="448"/>
      <c r="Q338" s="448"/>
      <c r="R338" s="448"/>
      <c r="S338" s="448"/>
      <c r="T338" s="448"/>
      <c r="U338" s="449"/>
    </row>
    <row r="339" spans="2:21">
      <c r="B339" s="447"/>
      <c r="C339" s="448"/>
      <c r="D339" s="448"/>
      <c r="E339" s="448"/>
      <c r="F339" s="448"/>
      <c r="G339" s="448"/>
      <c r="H339" s="448"/>
      <c r="I339" s="448"/>
      <c r="J339" s="448"/>
      <c r="K339" s="448"/>
      <c r="L339" s="448"/>
      <c r="M339" s="448"/>
      <c r="N339" s="448"/>
      <c r="O339" s="448"/>
      <c r="P339" s="448"/>
      <c r="Q339" s="448"/>
      <c r="R339" s="448"/>
      <c r="S339" s="448"/>
      <c r="T339" s="448"/>
      <c r="U339" s="449"/>
    </row>
    <row r="340" spans="2:21">
      <c r="B340" s="447"/>
      <c r="C340" s="448"/>
      <c r="D340" s="448"/>
      <c r="E340" s="448"/>
      <c r="F340" s="448"/>
      <c r="G340" s="448"/>
      <c r="H340" s="448"/>
      <c r="I340" s="448"/>
      <c r="J340" s="448"/>
      <c r="K340" s="448"/>
      <c r="L340" s="448"/>
      <c r="M340" s="448"/>
      <c r="N340" s="448"/>
      <c r="O340" s="448"/>
      <c r="P340" s="448"/>
      <c r="Q340" s="448"/>
      <c r="R340" s="448"/>
      <c r="S340" s="448"/>
      <c r="T340" s="448"/>
      <c r="U340" s="449"/>
    </row>
    <row r="341" spans="2:21" ht="15.75" thickBot="1">
      <c r="B341" s="450"/>
      <c r="C341" s="451"/>
      <c r="D341" s="451"/>
      <c r="E341" s="451"/>
      <c r="F341" s="451"/>
      <c r="G341" s="451"/>
      <c r="H341" s="451"/>
      <c r="I341" s="451"/>
      <c r="J341" s="451"/>
      <c r="K341" s="451"/>
      <c r="L341" s="451"/>
      <c r="M341" s="451"/>
      <c r="N341" s="451"/>
      <c r="O341" s="451"/>
      <c r="P341" s="451"/>
      <c r="Q341" s="451"/>
      <c r="R341" s="451"/>
      <c r="S341" s="451"/>
      <c r="T341" s="451"/>
      <c r="U341" s="452"/>
    </row>
    <row r="342" spans="2:21">
      <c r="B342" s="23"/>
    </row>
    <row r="343" spans="2:21">
      <c r="H343" s="40"/>
      <c r="I343" s="40"/>
      <c r="O343" s="40"/>
      <c r="Q343" s="40"/>
    </row>
    <row r="344" spans="2:21">
      <c r="B344" s="220" t="s">
        <v>38</v>
      </c>
      <c r="C344" s="220"/>
      <c r="D344" s="220"/>
      <c r="E344" s="220"/>
      <c r="F344" s="220"/>
      <c r="G344" s="220"/>
      <c r="I344" s="41"/>
      <c r="J344" s="213" t="s">
        <v>36</v>
      </c>
      <c r="K344" s="213"/>
      <c r="L344" s="213"/>
      <c r="M344" s="213"/>
      <c r="N344" s="213"/>
      <c r="O344" s="213"/>
      <c r="R344" s="213" t="s">
        <v>37</v>
      </c>
      <c r="S344" s="213"/>
      <c r="T344" s="213"/>
      <c r="U344" s="213"/>
    </row>
    <row r="345" spans="2:21">
      <c r="B345" s="220"/>
      <c r="C345" s="220"/>
      <c r="D345" s="220"/>
      <c r="E345" s="220"/>
      <c r="F345" s="220"/>
      <c r="G345" s="220"/>
      <c r="H345" s="42"/>
      <c r="I345" s="42"/>
      <c r="J345" s="221"/>
      <c r="K345" s="221"/>
      <c r="L345" s="221"/>
      <c r="M345" s="221"/>
      <c r="N345" s="221"/>
      <c r="O345" s="221"/>
      <c r="P345" s="42"/>
      <c r="Q345" s="42"/>
      <c r="R345" s="210" t="s">
        <v>0</v>
      </c>
      <c r="S345" s="210"/>
      <c r="T345" s="210"/>
      <c r="U345" s="210"/>
    </row>
    <row r="346" spans="2:21">
      <c r="B346" s="220"/>
      <c r="C346" s="220"/>
      <c r="D346" s="220"/>
      <c r="E346" s="220"/>
      <c r="F346" s="220"/>
      <c r="G346" s="220"/>
      <c r="H346" s="160"/>
      <c r="I346" s="160"/>
      <c r="J346" s="221"/>
      <c r="K346" s="221"/>
      <c r="L346" s="221"/>
      <c r="M346" s="221"/>
      <c r="N346" s="221"/>
      <c r="O346" s="221"/>
      <c r="P346" s="160"/>
      <c r="Q346" s="160"/>
      <c r="R346" s="210"/>
      <c r="S346" s="210"/>
      <c r="T346" s="210"/>
      <c r="U346" s="210"/>
    </row>
    <row r="347" spans="2:21">
      <c r="B347" s="220"/>
      <c r="C347" s="220"/>
      <c r="D347" s="220"/>
      <c r="E347" s="220"/>
      <c r="F347" s="220"/>
      <c r="G347" s="220"/>
      <c r="H347" s="160"/>
      <c r="I347" s="160"/>
      <c r="J347" s="221"/>
      <c r="K347" s="221"/>
      <c r="L347" s="221"/>
      <c r="M347" s="221"/>
      <c r="N347" s="221"/>
      <c r="O347" s="221"/>
      <c r="P347" s="160"/>
      <c r="Q347" s="160"/>
      <c r="R347" s="210"/>
      <c r="S347" s="210"/>
      <c r="T347" s="210"/>
      <c r="U347" s="210"/>
    </row>
    <row r="348" spans="2:21">
      <c r="B348" s="220"/>
      <c r="C348" s="220"/>
      <c r="D348" s="220"/>
      <c r="E348" s="220"/>
      <c r="F348" s="220"/>
      <c r="G348" s="220"/>
      <c r="H348" s="160"/>
      <c r="I348" s="160"/>
      <c r="J348" s="221"/>
      <c r="K348" s="221"/>
      <c r="L348" s="221"/>
      <c r="M348" s="221"/>
      <c r="N348" s="221"/>
      <c r="O348" s="221"/>
      <c r="P348" s="160"/>
      <c r="Q348" s="160"/>
      <c r="R348" s="210"/>
      <c r="S348" s="210"/>
      <c r="T348" s="210"/>
      <c r="U348" s="210"/>
    </row>
    <row r="349" spans="2:21" ht="15.75" thickBot="1">
      <c r="B349" s="223"/>
      <c r="C349" s="223"/>
      <c r="D349" s="223"/>
      <c r="E349" s="223"/>
      <c r="F349" s="223"/>
      <c r="G349" s="223"/>
      <c r="J349" s="222"/>
      <c r="K349" s="222"/>
      <c r="L349" s="222"/>
      <c r="M349" s="222"/>
      <c r="N349" s="222"/>
      <c r="O349" s="222"/>
      <c r="R349" s="205"/>
      <c r="S349" s="205"/>
      <c r="T349" s="205"/>
      <c r="U349" s="205"/>
    </row>
    <row r="350" spans="2:21">
      <c r="B350" s="210" t="s">
        <v>101</v>
      </c>
      <c r="C350" s="210"/>
      <c r="D350" s="210"/>
      <c r="E350" s="210"/>
      <c r="F350" s="210"/>
      <c r="G350" s="210"/>
      <c r="J350" s="204" t="s">
        <v>102</v>
      </c>
      <c r="K350" s="204"/>
      <c r="L350" s="204"/>
      <c r="M350" s="204"/>
      <c r="N350" s="204"/>
      <c r="O350" s="204"/>
      <c r="R350" s="211" t="s">
        <v>137</v>
      </c>
      <c r="S350" s="211"/>
      <c r="T350" s="211"/>
      <c r="U350" s="211"/>
    </row>
    <row r="351" spans="2:21">
      <c r="B351" s="204" t="s">
        <v>103</v>
      </c>
      <c r="C351" s="204"/>
      <c r="D351" s="204"/>
      <c r="E351" s="204"/>
      <c r="F351" s="204"/>
      <c r="G351" s="204"/>
      <c r="J351" s="212" t="s">
        <v>104</v>
      </c>
      <c r="K351" s="212"/>
      <c r="L351" s="212"/>
      <c r="M351" s="212"/>
      <c r="N351" s="212"/>
      <c r="O351" s="212"/>
      <c r="P351" s="118"/>
      <c r="Q351" s="118"/>
      <c r="R351" s="212" t="s">
        <v>105</v>
      </c>
      <c r="S351" s="212"/>
      <c r="T351" s="212"/>
      <c r="U351" s="212"/>
    </row>
    <row r="353" spans="2:21">
      <c r="J353" s="213" t="s">
        <v>50</v>
      </c>
      <c r="K353" s="213"/>
      <c r="L353" s="213"/>
      <c r="M353" s="213"/>
      <c r="N353" s="213"/>
      <c r="O353" s="213"/>
    </row>
    <row r="354" spans="2:21">
      <c r="C354" s="214" t="s">
        <v>157</v>
      </c>
      <c r="D354" s="214"/>
      <c r="E354" s="214"/>
      <c r="F354" s="214"/>
      <c r="J354" s="206" t="s">
        <v>48</v>
      </c>
      <c r="K354" s="206"/>
      <c r="L354" s="206"/>
      <c r="M354" s="206"/>
      <c r="N354" s="206"/>
      <c r="O354" s="206"/>
      <c r="R354" s="206" t="s">
        <v>51</v>
      </c>
      <c r="S354" s="206"/>
      <c r="T354" s="206"/>
      <c r="U354" s="206"/>
    </row>
    <row r="355" spans="2:21">
      <c r="B355" s="204"/>
      <c r="C355" s="204"/>
      <c r="D355" s="204"/>
      <c r="E355" s="204"/>
      <c r="F355" s="204"/>
      <c r="G355" s="204"/>
      <c r="J355" s="206"/>
      <c r="K355" s="206"/>
      <c r="L355" s="206"/>
      <c r="M355" s="206"/>
      <c r="N355" s="206"/>
      <c r="O355" s="206"/>
      <c r="R355" s="204"/>
      <c r="S355" s="204"/>
      <c r="T355" s="204"/>
      <c r="U355" s="204"/>
    </row>
    <row r="356" spans="2:21">
      <c r="B356" s="204"/>
      <c r="C356" s="204"/>
      <c r="D356" s="204"/>
      <c r="E356" s="204"/>
      <c r="F356" s="204"/>
      <c r="G356" s="204"/>
      <c r="J356" s="206"/>
      <c r="K356" s="206"/>
      <c r="L356" s="206"/>
      <c r="M356" s="206"/>
      <c r="N356" s="206"/>
      <c r="O356" s="206"/>
      <c r="R356" s="204"/>
      <c r="S356" s="204"/>
      <c r="T356" s="204"/>
      <c r="U356" s="204"/>
    </row>
    <row r="357" spans="2:21">
      <c r="B357" s="204"/>
      <c r="C357" s="204"/>
      <c r="D357" s="204"/>
      <c r="E357" s="204"/>
      <c r="F357" s="204"/>
      <c r="G357" s="204"/>
      <c r="J357" s="206"/>
      <c r="K357" s="206"/>
      <c r="L357" s="206"/>
      <c r="M357" s="206"/>
      <c r="N357" s="206"/>
      <c r="O357" s="206"/>
      <c r="R357" s="204"/>
      <c r="S357" s="204"/>
      <c r="T357" s="204"/>
      <c r="U357" s="204"/>
    </row>
    <row r="358" spans="2:21" ht="15.75" thickBot="1">
      <c r="B358" s="205"/>
      <c r="C358" s="205"/>
      <c r="D358" s="205"/>
      <c r="E358" s="205"/>
      <c r="F358" s="205"/>
      <c r="G358" s="205"/>
      <c r="H358" s="51"/>
      <c r="I358" s="51"/>
      <c r="J358" s="207"/>
      <c r="K358" s="207"/>
      <c r="L358" s="207"/>
      <c r="M358" s="207"/>
      <c r="N358" s="207"/>
      <c r="O358" s="207"/>
      <c r="P358" s="51"/>
      <c r="Q358" s="51"/>
      <c r="R358" s="205"/>
      <c r="S358" s="205"/>
      <c r="T358" s="205"/>
      <c r="U358" s="205"/>
    </row>
    <row r="359" spans="2:21">
      <c r="B359" s="208" t="s">
        <v>106</v>
      </c>
      <c r="C359" s="208"/>
      <c r="D359" s="208"/>
      <c r="E359" s="208"/>
      <c r="F359" s="208"/>
      <c r="G359" s="208"/>
      <c r="H359" s="119"/>
      <c r="I359" s="119"/>
      <c r="J359" s="208" t="s">
        <v>107</v>
      </c>
      <c r="K359" s="208"/>
      <c r="L359" s="208"/>
      <c r="M359" s="208"/>
      <c r="N359" s="208"/>
      <c r="O359" s="208"/>
      <c r="P359" s="51"/>
      <c r="Q359" s="51"/>
      <c r="R359" s="208" t="s">
        <v>108</v>
      </c>
      <c r="S359" s="208"/>
      <c r="T359" s="208"/>
      <c r="U359" s="208"/>
    </row>
    <row r="360" spans="2:21" ht="32.25" customHeight="1">
      <c r="B360" s="209" t="s">
        <v>109</v>
      </c>
      <c r="C360" s="209"/>
      <c r="D360" s="209"/>
      <c r="E360" s="209"/>
      <c r="F360" s="209"/>
      <c r="G360" s="209"/>
      <c r="J360" s="209" t="s">
        <v>110</v>
      </c>
      <c r="K360" s="209"/>
      <c r="L360" s="209"/>
      <c r="M360" s="209"/>
      <c r="N360" s="209"/>
      <c r="O360" s="209"/>
      <c r="R360" s="209" t="s">
        <v>111</v>
      </c>
      <c r="S360" s="209"/>
      <c r="T360" s="209"/>
      <c r="U360" s="209"/>
    </row>
    <row r="363" spans="2:21" ht="23.25">
      <c r="B363" s="426" t="s">
        <v>145</v>
      </c>
      <c r="C363" s="426"/>
      <c r="D363" s="426"/>
      <c r="E363" s="426"/>
      <c r="F363" s="426"/>
      <c r="G363" s="426"/>
      <c r="H363" s="426"/>
      <c r="I363" s="426"/>
      <c r="J363" s="426"/>
      <c r="K363" s="426"/>
      <c r="L363" s="426"/>
      <c r="M363" s="426"/>
      <c r="N363" s="426"/>
      <c r="O363" s="426"/>
      <c r="P363" s="426"/>
      <c r="Q363" s="426"/>
      <c r="R363" s="426"/>
      <c r="S363" s="426"/>
      <c r="T363" s="426"/>
      <c r="U363" s="426"/>
    </row>
    <row r="365" spans="2:21" ht="15" customHeight="1"/>
    <row r="366" spans="2:21" ht="15" customHeight="1">
      <c r="F366" s="1"/>
      <c r="G366" s="1"/>
      <c r="H366" s="1"/>
      <c r="I366" s="1"/>
      <c r="J366" s="1"/>
      <c r="K366" s="1"/>
      <c r="L366" s="1"/>
      <c r="M366" s="1"/>
      <c r="N366" s="1"/>
      <c r="O366" s="1"/>
    </row>
    <row r="367" spans="2:21" ht="15" customHeight="1">
      <c r="F367" s="1"/>
      <c r="G367" s="1"/>
      <c r="H367" s="1"/>
      <c r="I367" s="1"/>
      <c r="J367" s="1"/>
      <c r="K367" s="1"/>
      <c r="L367" s="1"/>
      <c r="M367" s="1"/>
      <c r="N367" s="1"/>
      <c r="O367" s="1"/>
    </row>
    <row r="368" spans="2:21" ht="15" customHeight="1">
      <c r="B368" s="427" t="s">
        <v>135</v>
      </c>
      <c r="C368" s="427"/>
      <c r="D368" s="427"/>
      <c r="E368" s="427"/>
      <c r="F368" s="427"/>
      <c r="G368" s="427"/>
      <c r="H368" s="427"/>
      <c r="I368" s="427"/>
      <c r="J368" s="427"/>
      <c r="K368" s="427"/>
      <c r="L368" s="427"/>
      <c r="M368" s="427"/>
      <c r="N368" s="427"/>
      <c r="O368" s="427"/>
      <c r="P368" s="427"/>
      <c r="Q368" s="427"/>
      <c r="R368" s="427"/>
      <c r="S368" s="427"/>
      <c r="T368" s="427"/>
      <c r="U368" s="427"/>
    </row>
    <row r="369" spans="1:31" ht="15" customHeight="1">
      <c r="F369" t="s">
        <v>0</v>
      </c>
    </row>
    <row r="370" spans="1:31" ht="15" customHeight="1">
      <c r="B370" s="2"/>
      <c r="C370" s="2"/>
      <c r="D370" s="2"/>
      <c r="E370" s="2"/>
      <c r="F370" s="2"/>
      <c r="G370" s="2"/>
      <c r="H370" s="2"/>
      <c r="I370" s="2"/>
      <c r="J370" s="2"/>
      <c r="K370" s="2"/>
      <c r="L370" s="2"/>
      <c r="M370" s="2"/>
      <c r="N370" s="2"/>
      <c r="O370" s="2"/>
      <c r="P370" s="2"/>
      <c r="Q370" s="2"/>
      <c r="R370" s="2"/>
      <c r="S370" s="2"/>
      <c r="T370" s="2"/>
      <c r="U370" s="2"/>
    </row>
    <row r="371" spans="1:31" ht="15" customHeight="1" thickBot="1">
      <c r="B371" s="3"/>
      <c r="C371" s="3"/>
      <c r="D371" s="3"/>
      <c r="E371" s="3"/>
      <c r="F371" s="3"/>
      <c r="G371" s="3"/>
      <c r="H371" s="3"/>
      <c r="I371" s="3"/>
      <c r="J371" s="3"/>
      <c r="K371" s="3"/>
      <c r="L371" s="3"/>
      <c r="M371" s="3"/>
      <c r="N371" s="3"/>
      <c r="O371" s="3"/>
      <c r="P371" s="3"/>
      <c r="Q371" s="3"/>
      <c r="R371" s="3"/>
      <c r="S371" s="3"/>
      <c r="T371" s="3"/>
      <c r="U371" s="3"/>
    </row>
    <row r="372" spans="1:31" ht="15" customHeight="1">
      <c r="B372" s="385" t="s">
        <v>1</v>
      </c>
      <c r="C372" s="386"/>
      <c r="D372" s="386"/>
      <c r="E372" s="386"/>
      <c r="F372" s="387"/>
      <c r="G372" s="428" t="s">
        <v>164</v>
      </c>
      <c r="H372" s="429"/>
      <c r="I372" s="429"/>
      <c r="J372" s="429"/>
      <c r="K372" s="429"/>
      <c r="L372" s="429"/>
      <c r="M372" s="429"/>
      <c r="N372" s="429"/>
      <c r="O372" s="429"/>
      <c r="P372" s="429"/>
      <c r="Q372" s="429"/>
      <c r="R372" s="429"/>
      <c r="S372" s="429"/>
      <c r="T372" s="429"/>
      <c r="U372" s="430"/>
    </row>
    <row r="373" spans="1:31" ht="15" customHeight="1">
      <c r="A373" s="4"/>
      <c r="B373" s="431" t="s">
        <v>2</v>
      </c>
      <c r="C373" s="432"/>
      <c r="D373" s="432"/>
      <c r="E373" s="432"/>
      <c r="F373" s="433"/>
      <c r="G373" s="434" t="s">
        <v>163</v>
      </c>
      <c r="H373" s="435"/>
      <c r="I373" s="435"/>
      <c r="J373" s="435"/>
      <c r="K373" s="435"/>
      <c r="L373" s="435"/>
      <c r="M373" s="435"/>
      <c r="N373" s="435"/>
      <c r="O373" s="435"/>
      <c r="P373" s="435"/>
      <c r="Q373" s="435"/>
      <c r="R373" s="435"/>
      <c r="S373" s="435"/>
      <c r="T373" s="435"/>
      <c r="U373" s="436"/>
    </row>
    <row r="374" spans="1:31" ht="15" customHeight="1">
      <c r="A374" s="4"/>
      <c r="B374" s="385" t="s">
        <v>3</v>
      </c>
      <c r="C374" s="386"/>
      <c r="D374" s="386"/>
      <c r="E374" s="386"/>
      <c r="F374" s="387"/>
      <c r="G374" s="437" t="s">
        <v>156</v>
      </c>
      <c r="H374" s="438"/>
      <c r="I374" s="438"/>
      <c r="J374" s="438"/>
      <c r="K374" s="438"/>
      <c r="L374" s="438"/>
      <c r="M374" s="438"/>
      <c r="N374" s="438"/>
      <c r="O374" s="438"/>
      <c r="P374" s="438"/>
      <c r="Q374" s="438"/>
      <c r="R374" s="438"/>
      <c r="S374" s="438"/>
      <c r="T374" s="438"/>
      <c r="U374" s="439"/>
    </row>
    <row r="375" spans="1:31" ht="15" customHeight="1">
      <c r="A375" s="4"/>
      <c r="B375" s="385" t="s">
        <v>4</v>
      </c>
      <c r="C375" s="386"/>
      <c r="D375" s="386"/>
      <c r="E375" s="386"/>
      <c r="F375" s="387"/>
      <c r="G375" s="440" t="s">
        <v>165</v>
      </c>
      <c r="H375" s="441"/>
      <c r="I375" s="441"/>
      <c r="J375" s="441"/>
      <c r="K375" s="441"/>
      <c r="L375" s="441"/>
      <c r="M375" s="441"/>
      <c r="N375" s="441"/>
      <c r="O375" s="441"/>
      <c r="P375" s="441"/>
      <c r="Q375" s="441"/>
      <c r="R375" s="441"/>
      <c r="S375" s="441"/>
      <c r="T375" s="441"/>
      <c r="U375" s="442"/>
    </row>
    <row r="376" spans="1:31" ht="15" customHeight="1">
      <c r="A376" s="4"/>
      <c r="B376" s="385" t="s">
        <v>5</v>
      </c>
      <c r="C376" s="386"/>
      <c r="D376" s="386"/>
      <c r="E376" s="386"/>
      <c r="F376" s="387"/>
      <c r="G376" s="410" t="s">
        <v>6</v>
      </c>
      <c r="H376" s="411"/>
      <c r="I376" s="412">
        <v>779836</v>
      </c>
      <c r="J376" s="413"/>
      <c r="K376" s="413"/>
      <c r="L376" s="414"/>
      <c r="M376" s="5" t="s">
        <v>7</v>
      </c>
      <c r="N376" s="412">
        <v>0</v>
      </c>
      <c r="O376" s="413"/>
      <c r="P376" s="413"/>
      <c r="Q376" s="414"/>
      <c r="R376" s="415" t="s">
        <v>8</v>
      </c>
      <c r="S376" s="416"/>
      <c r="T376" s="412">
        <v>0</v>
      </c>
      <c r="U376" s="417"/>
    </row>
    <row r="377" spans="1:31">
      <c r="A377" s="4"/>
      <c r="B377" s="385" t="s">
        <v>9</v>
      </c>
      <c r="C377" s="386"/>
      <c r="D377" s="386"/>
      <c r="E377" s="386"/>
      <c r="F377" s="387"/>
      <c r="G377" s="418" t="s">
        <v>6</v>
      </c>
      <c r="H377" s="419"/>
      <c r="I377" s="412">
        <v>779836</v>
      </c>
      <c r="J377" s="413"/>
      <c r="K377" s="413"/>
      <c r="L377" s="414"/>
      <c r="M377" s="5" t="s">
        <v>7</v>
      </c>
      <c r="N377" s="420">
        <v>0</v>
      </c>
      <c r="O377" s="421"/>
      <c r="P377" s="421"/>
      <c r="Q377" s="422"/>
      <c r="R377" s="423"/>
      <c r="S377" s="424"/>
      <c r="T377" s="424"/>
      <c r="U377" s="425"/>
    </row>
    <row r="378" spans="1:31" ht="15.75" thickBot="1">
      <c r="A378" s="4"/>
      <c r="B378" s="385" t="s">
        <v>10</v>
      </c>
      <c r="C378" s="386"/>
      <c r="D378" s="386"/>
      <c r="E378" s="386"/>
      <c r="F378" s="387"/>
      <c r="G378" s="388" t="s">
        <v>149</v>
      </c>
      <c r="H378" s="389"/>
      <c r="I378" s="389"/>
      <c r="J378" s="389"/>
      <c r="K378" s="389"/>
      <c r="L378" s="389"/>
      <c r="M378" s="389"/>
      <c r="N378" s="389"/>
      <c r="O378" s="389"/>
      <c r="P378" s="389"/>
      <c r="Q378" s="389"/>
      <c r="R378" s="389"/>
      <c r="S378" s="389"/>
      <c r="T378" s="389"/>
      <c r="U378" s="390"/>
    </row>
    <row r="379" spans="1:31" ht="15.75" customHeight="1" thickBot="1">
      <c r="A379" s="4"/>
      <c r="B379" s="391" t="s">
        <v>11</v>
      </c>
      <c r="C379" s="392"/>
      <c r="D379" s="392"/>
      <c r="E379" s="392"/>
      <c r="F379" s="393"/>
      <c r="G379" s="394" t="s">
        <v>118</v>
      </c>
      <c r="H379" s="395"/>
      <c r="I379" s="395"/>
      <c r="J379" s="395"/>
      <c r="K379" s="395"/>
      <c r="L379" s="395"/>
      <c r="M379" s="395"/>
      <c r="N379" s="395"/>
      <c r="O379" s="395"/>
      <c r="P379" s="395"/>
      <c r="Q379" s="395"/>
      <c r="R379" s="395"/>
      <c r="S379" s="395"/>
      <c r="T379" s="395"/>
      <c r="U379" s="396"/>
    </row>
    <row r="380" spans="1:31" ht="15.75" thickBot="1">
      <c r="B380" s="397"/>
      <c r="C380" s="397"/>
      <c r="D380" s="397"/>
      <c r="E380" s="397"/>
      <c r="F380" s="397"/>
      <c r="G380" s="397"/>
      <c r="H380" s="397"/>
      <c r="I380" s="397"/>
      <c r="J380" s="397"/>
      <c r="K380" s="397"/>
      <c r="L380" s="397"/>
      <c r="M380" s="397"/>
      <c r="N380" s="397"/>
      <c r="O380" s="397"/>
      <c r="P380" s="397"/>
      <c r="Q380" s="397"/>
      <c r="R380" s="397"/>
      <c r="S380" s="397"/>
      <c r="T380" s="397"/>
      <c r="U380" s="397"/>
    </row>
    <row r="381" spans="1:31" ht="16.5" thickBot="1">
      <c r="A381" s="4"/>
      <c r="B381" s="306" t="s">
        <v>12</v>
      </c>
      <c r="C381" s="307"/>
      <c r="D381" s="308"/>
      <c r="E381" s="307" t="s">
        <v>13</v>
      </c>
      <c r="F381" s="308"/>
      <c r="G381" s="312" t="s">
        <v>14</v>
      </c>
      <c r="H381" s="313"/>
      <c r="I381" s="313"/>
      <c r="J381" s="313"/>
      <c r="K381" s="313"/>
      <c r="L381" s="313"/>
      <c r="M381" s="313"/>
      <c r="N381" s="313"/>
      <c r="O381" s="313"/>
      <c r="P381" s="313"/>
      <c r="Q381" s="313"/>
      <c r="R381" s="313"/>
      <c r="S381" s="313"/>
      <c r="T381" s="313"/>
      <c r="U381" s="314"/>
    </row>
    <row r="382" spans="1:31" ht="15.75" customHeight="1" thickBot="1">
      <c r="A382" s="4"/>
      <c r="B382" s="309"/>
      <c r="C382" s="310"/>
      <c r="D382" s="311"/>
      <c r="E382" s="310"/>
      <c r="F382" s="311"/>
      <c r="G382" s="315" t="s">
        <v>15</v>
      </c>
      <c r="H382" s="316"/>
      <c r="I382" s="267" t="s">
        <v>120</v>
      </c>
      <c r="J382" s="268"/>
      <c r="K382" s="268"/>
      <c r="L382" s="268"/>
      <c r="M382" s="268"/>
      <c r="N382" s="269"/>
      <c r="O382" s="403" t="s">
        <v>121</v>
      </c>
      <c r="P382" s="404"/>
      <c r="Q382" s="404"/>
      <c r="R382" s="404"/>
      <c r="S382" s="404"/>
      <c r="T382" s="404"/>
      <c r="U382" s="405"/>
    </row>
    <row r="383" spans="1:31">
      <c r="A383" s="4"/>
      <c r="B383" s="309"/>
      <c r="C383" s="310"/>
      <c r="D383" s="311"/>
      <c r="E383" s="310"/>
      <c r="F383" s="311"/>
      <c r="G383" s="317"/>
      <c r="H383" s="318"/>
      <c r="I383" s="315" t="s">
        <v>18</v>
      </c>
      <c r="J383" s="406"/>
      <c r="K383" s="406"/>
      <c r="L383" s="315" t="s">
        <v>19</v>
      </c>
      <c r="M383" s="406"/>
      <c r="N383" s="316"/>
      <c r="O383" s="408" t="s">
        <v>18</v>
      </c>
      <c r="P383" s="409"/>
      <c r="Q383" s="409"/>
      <c r="R383" s="315" t="s">
        <v>19</v>
      </c>
      <c r="S383" s="406"/>
      <c r="T383" s="406"/>
      <c r="U383" s="326" t="s">
        <v>20</v>
      </c>
      <c r="V383" s="200" t="s">
        <v>158</v>
      </c>
      <c r="W383" s="201"/>
      <c r="X383" s="200" t="s">
        <v>159</v>
      </c>
      <c r="Y383" s="201"/>
      <c r="Z383" s="200" t="s">
        <v>161</v>
      </c>
      <c r="AA383" s="201"/>
      <c r="AB383" s="200" t="s">
        <v>160</v>
      </c>
      <c r="AC383" s="201"/>
      <c r="AD383" s="200" t="s">
        <v>162</v>
      </c>
      <c r="AE383" s="201"/>
    </row>
    <row r="384" spans="1:31" ht="15.75" thickBot="1">
      <c r="A384" s="4"/>
      <c r="B384" s="398"/>
      <c r="C384" s="399"/>
      <c r="D384" s="400"/>
      <c r="E384" s="399"/>
      <c r="F384" s="400"/>
      <c r="G384" s="401"/>
      <c r="H384" s="402"/>
      <c r="I384" s="401"/>
      <c r="J384" s="407"/>
      <c r="K384" s="407"/>
      <c r="L384" s="401"/>
      <c r="M384" s="407"/>
      <c r="N384" s="402"/>
      <c r="O384" s="401"/>
      <c r="P384" s="407"/>
      <c r="Q384" s="407"/>
      <c r="R384" s="401"/>
      <c r="S384" s="407"/>
      <c r="T384" s="407"/>
      <c r="U384" s="327"/>
      <c r="V384" s="202"/>
      <c r="W384" s="203"/>
      <c r="X384" s="202"/>
      <c r="Y384" s="203"/>
      <c r="Z384" s="202"/>
      <c r="AA384" s="203"/>
      <c r="AB384" s="202"/>
      <c r="AC384" s="203"/>
      <c r="AD384" s="202"/>
      <c r="AE384" s="203"/>
    </row>
    <row r="385" spans="1:31">
      <c r="A385" s="4"/>
      <c r="B385" s="372" t="s">
        <v>59</v>
      </c>
      <c r="C385" s="373"/>
      <c r="D385" s="374"/>
      <c r="E385" s="375"/>
      <c r="F385" s="376"/>
      <c r="G385" s="377"/>
      <c r="H385" s="378"/>
      <c r="I385" s="379"/>
      <c r="J385" s="380"/>
      <c r="K385" s="378"/>
      <c r="L385" s="381"/>
      <c r="M385" s="380"/>
      <c r="N385" s="382"/>
      <c r="O385" s="383"/>
      <c r="P385" s="384"/>
      <c r="Q385" s="384"/>
      <c r="R385" s="384"/>
      <c r="S385" s="384"/>
      <c r="T385" s="384"/>
      <c r="U385" s="53"/>
    </row>
    <row r="386" spans="1:31">
      <c r="A386" s="4"/>
      <c r="B386" s="354" t="s">
        <v>76</v>
      </c>
      <c r="C386" s="362"/>
      <c r="D386" s="363"/>
      <c r="E386" s="364"/>
      <c r="F386" s="365"/>
      <c r="G386" s="366"/>
      <c r="H386" s="367"/>
      <c r="I386" s="371"/>
      <c r="J386" s="370"/>
      <c r="K386" s="370"/>
      <c r="L386" s="370"/>
      <c r="M386" s="370"/>
      <c r="N386" s="365"/>
      <c r="O386" s="371"/>
      <c r="P386" s="370"/>
      <c r="Q386" s="370"/>
      <c r="R386" s="370"/>
      <c r="S386" s="370"/>
      <c r="T386" s="370"/>
      <c r="U386" s="185"/>
    </row>
    <row r="387" spans="1:31">
      <c r="A387" s="4"/>
      <c r="B387" s="328" t="s">
        <v>56</v>
      </c>
      <c r="C387" s="329"/>
      <c r="D387" s="330"/>
      <c r="E387" s="331" t="s">
        <v>58</v>
      </c>
      <c r="F387" s="332"/>
      <c r="G387" s="348">
        <v>170</v>
      </c>
      <c r="H387" s="359"/>
      <c r="I387" s="350">
        <v>0</v>
      </c>
      <c r="J387" s="351"/>
      <c r="K387" s="349"/>
      <c r="L387" s="350">
        <v>0</v>
      </c>
      <c r="M387" s="351"/>
      <c r="N387" s="352"/>
      <c r="O387" s="353">
        <v>170</v>
      </c>
      <c r="P387" s="351"/>
      <c r="Q387" s="349"/>
      <c r="R387" s="350">
        <v>170</v>
      </c>
      <c r="S387" s="351"/>
      <c r="T387" s="349"/>
      <c r="U387" s="6">
        <f t="shared" ref="U387" si="105">R387/G387</f>
        <v>1</v>
      </c>
      <c r="V387" s="193">
        <f>+'Mensual VEME2019'!I1112+'Mensual VEME2019'!I1233+'Mensual VEME2019'!I1358</f>
        <v>0</v>
      </c>
      <c r="W387" s="193">
        <f>+I387-V387</f>
        <v>0</v>
      </c>
      <c r="X387" s="193">
        <f>+'Mensual VEME2019'!L1112+'Mensual VEME2019'!L1233+'Mensual VEME2019'!L1358</f>
        <v>0</v>
      </c>
      <c r="Y387" s="193">
        <f>+L387-X387</f>
        <v>0</v>
      </c>
      <c r="Z387" s="128">
        <f>+V387+O290</f>
        <v>1908</v>
      </c>
      <c r="AB387" s="128">
        <f>+X387+R266</f>
        <v>170</v>
      </c>
      <c r="AC387" s="128">
        <f>+R387-AB387</f>
        <v>0</v>
      </c>
      <c r="AD387" s="194">
        <f>+AB387/G387</f>
        <v>1</v>
      </c>
      <c r="AE387" s="194">
        <f>+U387-AD387</f>
        <v>0</v>
      </c>
    </row>
    <row r="388" spans="1:31">
      <c r="A388" s="4"/>
      <c r="B388" s="328" t="s">
        <v>57</v>
      </c>
      <c r="C388" s="329"/>
      <c r="D388" s="330"/>
      <c r="E388" s="331" t="s">
        <v>58</v>
      </c>
      <c r="F388" s="332"/>
      <c r="G388" s="348">
        <v>4405</v>
      </c>
      <c r="H388" s="349"/>
      <c r="I388" s="350">
        <v>1135</v>
      </c>
      <c r="J388" s="351"/>
      <c r="K388" s="349"/>
      <c r="L388" s="350">
        <v>1135</v>
      </c>
      <c r="M388" s="351"/>
      <c r="N388" s="352"/>
      <c r="O388" s="353">
        <f>340+340+340+417+418+340+340+340+395+446+349+340</f>
        <v>4405</v>
      </c>
      <c r="P388" s="351"/>
      <c r="Q388" s="349"/>
      <c r="R388" s="350">
        <f>339+339+338+420+340+268+340+340+395+446+349+340</f>
        <v>4254</v>
      </c>
      <c r="S388" s="351"/>
      <c r="T388" s="349"/>
      <c r="U388" s="54">
        <f>R388/G388</f>
        <v>0.96572077185017025</v>
      </c>
      <c r="V388" s="193">
        <f>+'Mensual VEME2019'!I1113+'Mensual VEME2019'!I1234+'Mensual VEME2019'!I1359</f>
        <v>1135</v>
      </c>
      <c r="W388" s="193">
        <f>+I388-V388</f>
        <v>0</v>
      </c>
      <c r="X388" s="193">
        <f>+'Mensual VEME2019'!L1113+'Mensual VEME2019'!L1234+'Mensual VEME2019'!L1359</f>
        <v>1135</v>
      </c>
      <c r="Y388" s="193">
        <f>+L388-X388</f>
        <v>0</v>
      </c>
      <c r="Z388" s="128">
        <f>+V388+O291</f>
        <v>7135</v>
      </c>
      <c r="AB388" s="128">
        <f>+X388+R267</f>
        <v>4254</v>
      </c>
      <c r="AC388" s="128">
        <f>+R388-AB388</f>
        <v>0</v>
      </c>
      <c r="AD388" s="194">
        <f>+AB388/G388</f>
        <v>0.96572077185017025</v>
      </c>
      <c r="AE388" s="194">
        <f>+U388-AD388</f>
        <v>0</v>
      </c>
    </row>
    <row r="389" spans="1:31" ht="15" customHeight="1">
      <c r="A389" s="4"/>
      <c r="B389" s="354" t="s">
        <v>77</v>
      </c>
      <c r="C389" s="362"/>
      <c r="D389" s="363"/>
      <c r="E389" s="364"/>
      <c r="F389" s="365"/>
      <c r="G389" s="366"/>
      <c r="H389" s="367"/>
      <c r="I389" s="371"/>
      <c r="J389" s="370"/>
      <c r="K389" s="370"/>
      <c r="L389" s="370"/>
      <c r="M389" s="370"/>
      <c r="N389" s="365"/>
      <c r="O389" s="371"/>
      <c r="P389" s="370"/>
      <c r="Q389" s="370"/>
      <c r="R389" s="370"/>
      <c r="S389" s="370"/>
      <c r="T389" s="370"/>
      <c r="U389" s="185"/>
    </row>
    <row r="390" spans="1:31">
      <c r="A390" s="4"/>
      <c r="B390" s="328" t="s">
        <v>56</v>
      </c>
      <c r="C390" s="329"/>
      <c r="D390" s="330"/>
      <c r="E390" s="331" t="s">
        <v>58</v>
      </c>
      <c r="F390" s="332"/>
      <c r="G390" s="348">
        <v>35</v>
      </c>
      <c r="H390" s="359"/>
      <c r="I390" s="350">
        <v>0</v>
      </c>
      <c r="J390" s="351"/>
      <c r="K390" s="349"/>
      <c r="L390" s="350">
        <v>0</v>
      </c>
      <c r="M390" s="351"/>
      <c r="N390" s="352"/>
      <c r="O390" s="353">
        <v>35</v>
      </c>
      <c r="P390" s="351"/>
      <c r="Q390" s="349"/>
      <c r="R390" s="350">
        <v>35</v>
      </c>
      <c r="S390" s="351"/>
      <c r="T390" s="349"/>
      <c r="U390" s="6">
        <f t="shared" ref="U390" si="106">R390/G390</f>
        <v>1</v>
      </c>
      <c r="V390" s="193">
        <f>+'Mensual VEME2019'!I1115+'Mensual VEME2019'!I1236+'Mensual VEME2019'!I1361</f>
        <v>0</v>
      </c>
      <c r="W390" s="193">
        <f t="shared" ref="W390:W391" si="107">+I390-V390</f>
        <v>0</v>
      </c>
      <c r="X390" s="193">
        <f>+'Mensual VEME2019'!L1115+'Mensual VEME2019'!L1236+'Mensual VEME2019'!L1361</f>
        <v>0</v>
      </c>
      <c r="Y390" s="193">
        <f t="shared" ref="Y390:Y391" si="108">+L390-X390</f>
        <v>0</v>
      </c>
      <c r="Z390" s="128">
        <f t="shared" ref="Z390:Z391" si="109">+V390+O293</f>
        <v>2000</v>
      </c>
      <c r="AB390" s="128">
        <f t="shared" ref="AB390:AB391" si="110">+X390+R269</f>
        <v>35</v>
      </c>
      <c r="AC390" s="128">
        <f t="shared" ref="AC390:AC391" si="111">+R390-AB390</f>
        <v>0</v>
      </c>
      <c r="AD390" s="194">
        <f t="shared" ref="AD390:AD391" si="112">+AB390/G390</f>
        <v>1</v>
      </c>
      <c r="AE390" s="194">
        <f t="shared" ref="AE390:AE391" si="113">+U390-AD390</f>
        <v>0</v>
      </c>
    </row>
    <row r="391" spans="1:31">
      <c r="A391" s="4"/>
      <c r="B391" s="328" t="s">
        <v>57</v>
      </c>
      <c r="C391" s="329"/>
      <c r="D391" s="330"/>
      <c r="E391" s="331" t="s">
        <v>58</v>
      </c>
      <c r="F391" s="332"/>
      <c r="G391" s="348">
        <v>907</v>
      </c>
      <c r="H391" s="349"/>
      <c r="I391" s="360">
        <v>231</v>
      </c>
      <c r="J391" s="341"/>
      <c r="K391" s="361"/>
      <c r="L391" s="350">
        <v>231</v>
      </c>
      <c r="M391" s="351"/>
      <c r="N391" s="352"/>
      <c r="O391" s="353">
        <f>70+70+70+88+84+70+70+70+84+89+72+70</f>
        <v>907</v>
      </c>
      <c r="P391" s="351"/>
      <c r="Q391" s="349"/>
      <c r="R391" s="350">
        <f>70+70+70+88+69+55+70+70+84+89+72+70</f>
        <v>877</v>
      </c>
      <c r="S391" s="351"/>
      <c r="T391" s="349"/>
      <c r="U391" s="54">
        <f>R391/G391</f>
        <v>0.96692392502756341</v>
      </c>
      <c r="V391" s="193">
        <f>+'Mensual VEME2019'!I1116+'Mensual VEME2019'!I1237+'Mensual VEME2019'!I1362</f>
        <v>231</v>
      </c>
      <c r="W391" s="193">
        <f t="shared" si="107"/>
        <v>0</v>
      </c>
      <c r="X391" s="193">
        <f>+'Mensual VEME2019'!L1116+'Mensual VEME2019'!L1237+'Mensual VEME2019'!L1362</f>
        <v>231</v>
      </c>
      <c r="Y391" s="193">
        <f t="shared" si="108"/>
        <v>0</v>
      </c>
      <c r="Z391" s="128">
        <f t="shared" si="109"/>
        <v>148731</v>
      </c>
      <c r="AB391" s="128">
        <f t="shared" si="110"/>
        <v>877</v>
      </c>
      <c r="AC391" s="128">
        <f t="shared" si="111"/>
        <v>0</v>
      </c>
      <c r="AD391" s="194">
        <f t="shared" si="112"/>
        <v>0.96692392502756341</v>
      </c>
      <c r="AE391" s="194">
        <f t="shared" si="113"/>
        <v>0</v>
      </c>
    </row>
    <row r="392" spans="1:31" ht="15" customHeight="1">
      <c r="A392" s="4"/>
      <c r="B392" s="354" t="s">
        <v>78</v>
      </c>
      <c r="C392" s="362"/>
      <c r="D392" s="363"/>
      <c r="E392" s="364"/>
      <c r="F392" s="365"/>
      <c r="G392" s="366"/>
      <c r="H392" s="367"/>
      <c r="I392" s="368"/>
      <c r="J392" s="369"/>
      <c r="K392" s="369"/>
      <c r="L392" s="370"/>
      <c r="M392" s="370"/>
      <c r="N392" s="365"/>
      <c r="O392" s="371"/>
      <c r="P392" s="370"/>
      <c r="Q392" s="370"/>
      <c r="R392" s="370"/>
      <c r="S392" s="370"/>
      <c r="T392" s="370"/>
      <c r="U392" s="185"/>
    </row>
    <row r="393" spans="1:31">
      <c r="A393" s="4"/>
      <c r="B393" s="328" t="s">
        <v>56</v>
      </c>
      <c r="C393" s="329"/>
      <c r="D393" s="330"/>
      <c r="E393" s="331" t="s">
        <v>58</v>
      </c>
      <c r="F393" s="332"/>
      <c r="G393" s="348">
        <v>35</v>
      </c>
      <c r="H393" s="359"/>
      <c r="I393" s="360">
        <v>0</v>
      </c>
      <c r="J393" s="341"/>
      <c r="K393" s="361"/>
      <c r="L393" s="350">
        <v>0</v>
      </c>
      <c r="M393" s="351"/>
      <c r="N393" s="352"/>
      <c r="O393" s="353">
        <v>35</v>
      </c>
      <c r="P393" s="351"/>
      <c r="Q393" s="349"/>
      <c r="R393" s="350">
        <v>35</v>
      </c>
      <c r="S393" s="351"/>
      <c r="T393" s="349"/>
      <c r="U393" s="6">
        <f t="shared" ref="U393" si="114">R393/G393</f>
        <v>1</v>
      </c>
      <c r="V393" s="193">
        <f>+'Mensual VEME2019'!I1118+'Mensual VEME2019'!I1239+'Mensual VEME2019'!I1364</f>
        <v>0</v>
      </c>
      <c r="W393" s="193">
        <f t="shared" ref="W393:W394" si="115">+I393-V393</f>
        <v>0</v>
      </c>
      <c r="X393" s="193">
        <f>+'Mensual VEME2019'!L1118+'Mensual VEME2019'!L1239+'Mensual VEME2019'!L1364</f>
        <v>0</v>
      </c>
      <c r="Y393" s="193">
        <f t="shared" ref="Y393:Y394" si="116">+L393-X393</f>
        <v>0</v>
      </c>
      <c r="Z393" s="128">
        <f t="shared" ref="Z393:Z394" si="117">+V393+O296</f>
        <v>30000</v>
      </c>
      <c r="AB393" s="128">
        <f t="shared" ref="AB393:AB394" si="118">+X393+R272</f>
        <v>35</v>
      </c>
      <c r="AC393" s="128">
        <f t="shared" ref="AC393:AC394" si="119">+R393-AB393</f>
        <v>0</v>
      </c>
      <c r="AD393" s="194">
        <f t="shared" ref="AD393:AD394" si="120">+AB393/G393</f>
        <v>1</v>
      </c>
      <c r="AE393" s="194">
        <f t="shared" ref="AE393:AE394" si="121">+U393-AD393</f>
        <v>0</v>
      </c>
    </row>
    <row r="394" spans="1:31">
      <c r="A394" s="4"/>
      <c r="B394" s="328" t="s">
        <v>57</v>
      </c>
      <c r="C394" s="329"/>
      <c r="D394" s="330"/>
      <c r="E394" s="331" t="s">
        <v>58</v>
      </c>
      <c r="F394" s="332"/>
      <c r="G394" s="348">
        <v>907</v>
      </c>
      <c r="H394" s="349"/>
      <c r="I394" s="360">
        <v>230</v>
      </c>
      <c r="J394" s="341"/>
      <c r="K394" s="361"/>
      <c r="L394" s="350">
        <v>231</v>
      </c>
      <c r="M394" s="351"/>
      <c r="N394" s="352"/>
      <c r="O394" s="353">
        <f>70+70+70+88+84+70+70+70+85+88+72+70</f>
        <v>907</v>
      </c>
      <c r="P394" s="351"/>
      <c r="Q394" s="349"/>
      <c r="R394" s="350">
        <f>70+70+70+88+69+55+70+70+84+89+72+70</f>
        <v>877</v>
      </c>
      <c r="S394" s="351"/>
      <c r="T394" s="349"/>
      <c r="U394" s="54">
        <f>R394/G394</f>
        <v>0.96692392502756341</v>
      </c>
      <c r="V394" s="193">
        <f>+'Mensual VEME2019'!I1119+'Mensual VEME2019'!I1240+'Mensual VEME2019'!I1365</f>
        <v>230</v>
      </c>
      <c r="W394" s="193">
        <f t="shared" si="115"/>
        <v>0</v>
      </c>
      <c r="X394" s="193">
        <f>+'Mensual VEME2019'!L1119+'Mensual VEME2019'!L1240+'Mensual VEME2019'!L1365</f>
        <v>231</v>
      </c>
      <c r="Y394" s="193">
        <f t="shared" si="116"/>
        <v>0</v>
      </c>
      <c r="Z394" s="128">
        <f t="shared" si="117"/>
        <v>6030</v>
      </c>
      <c r="AB394" s="128">
        <f t="shared" si="118"/>
        <v>877</v>
      </c>
      <c r="AC394" s="128">
        <f t="shared" si="119"/>
        <v>0</v>
      </c>
      <c r="AD394" s="194">
        <f t="shared" si="120"/>
        <v>0.96692392502756341</v>
      </c>
      <c r="AE394" s="194">
        <f t="shared" si="121"/>
        <v>0</v>
      </c>
    </row>
    <row r="395" spans="1:31" ht="15" customHeight="1">
      <c r="A395" s="4"/>
      <c r="B395" s="354" t="s">
        <v>79</v>
      </c>
      <c r="C395" s="362"/>
      <c r="D395" s="363"/>
      <c r="E395" s="364"/>
      <c r="F395" s="365"/>
      <c r="G395" s="366"/>
      <c r="H395" s="367"/>
      <c r="I395" s="368"/>
      <c r="J395" s="369"/>
      <c r="K395" s="369"/>
      <c r="L395" s="370"/>
      <c r="M395" s="370"/>
      <c r="N395" s="365"/>
      <c r="O395" s="371"/>
      <c r="P395" s="370"/>
      <c r="Q395" s="370"/>
      <c r="R395" s="370"/>
      <c r="S395" s="370"/>
      <c r="T395" s="370"/>
      <c r="U395" s="185"/>
    </row>
    <row r="396" spans="1:31">
      <c r="A396" s="4"/>
      <c r="B396" s="328" t="s">
        <v>56</v>
      </c>
      <c r="C396" s="329"/>
      <c r="D396" s="330"/>
      <c r="E396" s="331" t="s">
        <v>58</v>
      </c>
      <c r="F396" s="332"/>
      <c r="G396" s="348">
        <v>96</v>
      </c>
      <c r="H396" s="359"/>
      <c r="I396" s="360">
        <v>0</v>
      </c>
      <c r="J396" s="341"/>
      <c r="K396" s="361"/>
      <c r="L396" s="350">
        <v>0</v>
      </c>
      <c r="M396" s="351"/>
      <c r="N396" s="352"/>
      <c r="O396" s="353">
        <v>96</v>
      </c>
      <c r="P396" s="351"/>
      <c r="Q396" s="349"/>
      <c r="R396" s="350">
        <v>96</v>
      </c>
      <c r="S396" s="351"/>
      <c r="T396" s="349"/>
      <c r="U396" s="54">
        <f t="shared" ref="U396" si="122">R396/G396</f>
        <v>1</v>
      </c>
      <c r="V396" s="193">
        <f>+'Mensual VEME2019'!I1121+'Mensual VEME2019'!I1242+'Mensual VEME2019'!I1367</f>
        <v>0</v>
      </c>
      <c r="W396" s="193">
        <f t="shared" ref="W396:W397" si="123">+I396-V396</f>
        <v>0</v>
      </c>
      <c r="X396" s="193">
        <f>+'Mensual VEME2019'!L1121+'Mensual VEME2019'!L1242+'Mensual VEME2019'!L1367</f>
        <v>0</v>
      </c>
      <c r="Y396" s="193">
        <f t="shared" ref="Y396:Y397" si="124">+L396-X396</f>
        <v>0</v>
      </c>
      <c r="Z396" s="128">
        <f t="shared" ref="Z396:Z397" si="125">+V396+O299</f>
        <v>9000</v>
      </c>
      <c r="AB396" s="128">
        <f t="shared" ref="AB396:AB397" si="126">+X396+R275</f>
        <v>96</v>
      </c>
      <c r="AC396" s="128">
        <f t="shared" ref="AC396:AC397" si="127">+R396-AB396</f>
        <v>0</v>
      </c>
      <c r="AD396" s="194">
        <f t="shared" ref="AD396:AD397" si="128">+AB396/G396</f>
        <v>1</v>
      </c>
      <c r="AE396" s="194">
        <f t="shared" ref="AE396:AE397" si="129">+U396-AD396</f>
        <v>0</v>
      </c>
    </row>
    <row r="397" spans="1:31">
      <c r="A397" s="4"/>
      <c r="B397" s="328" t="s">
        <v>57</v>
      </c>
      <c r="C397" s="329"/>
      <c r="D397" s="330"/>
      <c r="E397" s="331" t="s">
        <v>58</v>
      </c>
      <c r="F397" s="332"/>
      <c r="G397" s="348">
        <v>1440</v>
      </c>
      <c r="H397" s="349"/>
      <c r="I397" s="360">
        <v>273</v>
      </c>
      <c r="J397" s="341"/>
      <c r="K397" s="361"/>
      <c r="L397" s="350">
        <v>273</v>
      </c>
      <c r="M397" s="351"/>
      <c r="N397" s="352"/>
      <c r="O397" s="353">
        <f>126+258+192+192+192+207+267+6+0</f>
        <v>1440</v>
      </c>
      <c r="P397" s="351"/>
      <c r="Q397" s="349"/>
      <c r="R397" s="350">
        <f>126+258+192+192+192+207+267+6+0</f>
        <v>1440</v>
      </c>
      <c r="S397" s="351"/>
      <c r="T397" s="349"/>
      <c r="U397" s="54">
        <f>R397/G397</f>
        <v>1</v>
      </c>
      <c r="V397" s="193">
        <f>+'Mensual VEME2019'!I1122+'Mensual VEME2019'!I1243+'Mensual VEME2019'!I1368</f>
        <v>273</v>
      </c>
      <c r="W397" s="193">
        <f t="shared" si="123"/>
        <v>0</v>
      </c>
      <c r="X397" s="193">
        <f>+'Mensual VEME2019'!L1122+'Mensual VEME2019'!L1243+'Mensual VEME2019'!L1368</f>
        <v>273</v>
      </c>
      <c r="Y397" s="193">
        <f t="shared" si="124"/>
        <v>0</v>
      </c>
      <c r="Z397" s="128">
        <f t="shared" si="125"/>
        <v>8273</v>
      </c>
      <c r="AB397" s="128">
        <f t="shared" si="126"/>
        <v>1440</v>
      </c>
      <c r="AC397" s="128">
        <f t="shared" si="127"/>
        <v>0</v>
      </c>
      <c r="AD397" s="194">
        <f t="shared" si="128"/>
        <v>1</v>
      </c>
      <c r="AE397" s="194">
        <f t="shared" si="129"/>
        <v>0</v>
      </c>
    </row>
    <row r="398" spans="1:31">
      <c r="A398" s="4"/>
      <c r="B398" s="354" t="s">
        <v>63</v>
      </c>
      <c r="C398" s="355"/>
      <c r="D398" s="356"/>
      <c r="E398" s="357"/>
      <c r="F398" s="358"/>
      <c r="G398" s="348"/>
      <c r="H398" s="349"/>
      <c r="I398" s="360"/>
      <c r="J398" s="341"/>
      <c r="K398" s="361"/>
      <c r="L398" s="353"/>
      <c r="M398" s="351"/>
      <c r="N398" s="352"/>
      <c r="O398" s="353"/>
      <c r="P398" s="351"/>
      <c r="Q398" s="351"/>
      <c r="R398" s="351"/>
      <c r="S398" s="351"/>
      <c r="T398" s="351"/>
      <c r="U398" s="6"/>
    </row>
    <row r="399" spans="1:31">
      <c r="A399" s="4"/>
      <c r="B399" s="328" t="s">
        <v>60</v>
      </c>
      <c r="C399" s="329"/>
      <c r="D399" s="330"/>
      <c r="E399" s="331" t="s">
        <v>58</v>
      </c>
      <c r="F399" s="332"/>
      <c r="G399" s="348">
        <v>12</v>
      </c>
      <c r="H399" s="359"/>
      <c r="I399" s="350">
        <v>4</v>
      </c>
      <c r="J399" s="351"/>
      <c r="K399" s="349"/>
      <c r="L399" s="350">
        <v>4</v>
      </c>
      <c r="M399" s="351"/>
      <c r="N399" s="352"/>
      <c r="O399" s="353">
        <f>2+2+2+2+2+2</f>
        <v>12</v>
      </c>
      <c r="P399" s="351"/>
      <c r="Q399" s="349"/>
      <c r="R399" s="350">
        <f>2+2+2+2+2+2</f>
        <v>12</v>
      </c>
      <c r="S399" s="351"/>
      <c r="T399" s="349"/>
      <c r="U399" s="54">
        <f>R399/G399</f>
        <v>1</v>
      </c>
      <c r="V399" s="193">
        <f>+'Mensual VEME2019'!I1124+'Mensual VEME2019'!I1245+'Mensual VEME2019'!I1370</f>
        <v>4</v>
      </c>
      <c r="W399" s="193">
        <f>+I399-V399</f>
        <v>0</v>
      </c>
      <c r="X399" s="193">
        <f>+'Mensual VEME2019'!L1124+'Mensual VEME2019'!L1245+'Mensual VEME2019'!L1370</f>
        <v>4</v>
      </c>
      <c r="Y399" s="193">
        <f>+L399-X399</f>
        <v>0</v>
      </c>
      <c r="Z399" s="128">
        <f>+V399+O302</f>
        <v>2504</v>
      </c>
      <c r="AB399" s="128">
        <f>+X399+R278</f>
        <v>12</v>
      </c>
      <c r="AC399" s="128">
        <f>+R399-AB399</f>
        <v>0</v>
      </c>
      <c r="AD399" s="194">
        <f>+AB399/G399</f>
        <v>1</v>
      </c>
      <c r="AE399" s="194">
        <f>+U399-AD399</f>
        <v>0</v>
      </c>
    </row>
    <row r="400" spans="1:31">
      <c r="A400" s="4"/>
      <c r="B400" s="354" t="s">
        <v>61</v>
      </c>
      <c r="C400" s="355"/>
      <c r="D400" s="356"/>
      <c r="E400" s="357"/>
      <c r="F400" s="358"/>
      <c r="G400" s="348"/>
      <c r="H400" s="349"/>
      <c r="I400" s="350"/>
      <c r="J400" s="351"/>
      <c r="K400" s="349"/>
      <c r="L400" s="353"/>
      <c r="M400" s="351"/>
      <c r="N400" s="352"/>
      <c r="O400" s="353"/>
      <c r="P400" s="351"/>
      <c r="Q400" s="351"/>
      <c r="R400" s="351"/>
      <c r="S400" s="351"/>
      <c r="T400" s="351"/>
      <c r="U400" s="6"/>
    </row>
    <row r="401" spans="1:31" ht="15" customHeight="1">
      <c r="A401" s="4"/>
      <c r="B401" s="328" t="s">
        <v>61</v>
      </c>
      <c r="C401" s="329"/>
      <c r="D401" s="330"/>
      <c r="E401" s="331" t="s">
        <v>58</v>
      </c>
      <c r="F401" s="332"/>
      <c r="G401" s="348">
        <v>15</v>
      </c>
      <c r="H401" s="349"/>
      <c r="I401" s="350">
        <v>5</v>
      </c>
      <c r="J401" s="351"/>
      <c r="K401" s="349"/>
      <c r="L401" s="350">
        <v>5</v>
      </c>
      <c r="M401" s="351"/>
      <c r="N401" s="352"/>
      <c r="O401" s="353">
        <f>5+0+5+0+0+5+0</f>
        <v>15</v>
      </c>
      <c r="P401" s="351"/>
      <c r="Q401" s="349"/>
      <c r="R401" s="350">
        <f>0+5+0+5+0+5+0</f>
        <v>15</v>
      </c>
      <c r="S401" s="351"/>
      <c r="T401" s="349"/>
      <c r="U401" s="54">
        <f>R401/G401</f>
        <v>1</v>
      </c>
      <c r="V401" s="193">
        <f>+'Mensual VEME2019'!I1126+'Mensual VEME2019'!I1247+'Mensual VEME2019'!I1372</f>
        <v>5</v>
      </c>
      <c r="W401" s="193">
        <f>+I401-V401</f>
        <v>0</v>
      </c>
      <c r="X401" s="193">
        <f>+'Mensual VEME2019'!L1126+'Mensual VEME2019'!L1247+'Mensual VEME2019'!L1372</f>
        <v>5</v>
      </c>
      <c r="Y401" s="193">
        <f>+L401-X401</f>
        <v>0</v>
      </c>
      <c r="Z401" s="128">
        <f>+V401+O304</f>
        <v>156005</v>
      </c>
      <c r="AB401" s="128">
        <f>+X401+R280</f>
        <v>15</v>
      </c>
      <c r="AC401" s="128">
        <f>+R401-AB401</f>
        <v>0</v>
      </c>
      <c r="AD401" s="194">
        <f>+AB401/G401</f>
        <v>1</v>
      </c>
      <c r="AE401" s="194">
        <f>+U401-AD401</f>
        <v>0</v>
      </c>
    </row>
    <row r="402" spans="1:31" ht="15" customHeight="1">
      <c r="A402" s="4"/>
      <c r="B402" s="354" t="s">
        <v>62</v>
      </c>
      <c r="C402" s="355"/>
      <c r="D402" s="356"/>
      <c r="E402" s="357"/>
      <c r="F402" s="358"/>
      <c r="G402" s="348"/>
      <c r="H402" s="349"/>
      <c r="I402" s="350"/>
      <c r="J402" s="351"/>
      <c r="K402" s="349"/>
      <c r="L402" s="353"/>
      <c r="M402" s="351"/>
      <c r="N402" s="352"/>
      <c r="O402" s="353"/>
      <c r="P402" s="351"/>
      <c r="Q402" s="351"/>
      <c r="R402" s="351"/>
      <c r="S402" s="351"/>
      <c r="T402" s="351"/>
      <c r="U402" s="6"/>
    </row>
    <row r="403" spans="1:31" ht="15" customHeight="1" thickBot="1">
      <c r="A403" s="4"/>
      <c r="B403" s="328" t="s">
        <v>62</v>
      </c>
      <c r="C403" s="329"/>
      <c r="D403" s="330"/>
      <c r="E403" s="331" t="s">
        <v>58</v>
      </c>
      <c r="F403" s="332"/>
      <c r="G403" s="333">
        <v>1</v>
      </c>
      <c r="H403" s="334"/>
      <c r="I403" s="335">
        <v>1</v>
      </c>
      <c r="J403" s="336"/>
      <c r="K403" s="334"/>
      <c r="L403" s="337">
        <v>1</v>
      </c>
      <c r="M403" s="338"/>
      <c r="N403" s="339"/>
      <c r="O403" s="340">
        <v>1</v>
      </c>
      <c r="P403" s="341"/>
      <c r="Q403" s="341"/>
      <c r="R403" s="341">
        <v>1</v>
      </c>
      <c r="S403" s="341"/>
      <c r="T403" s="341"/>
      <c r="U403" s="54">
        <f>R403/G403</f>
        <v>1</v>
      </c>
      <c r="V403" s="193">
        <f>+'Mensual VEME2019'!I1128+'Mensual VEME2019'!I1249+'Mensual VEME2019'!I1374</f>
        <v>1</v>
      </c>
      <c r="W403" s="193">
        <f>+I403-V403</f>
        <v>0</v>
      </c>
      <c r="X403" s="193">
        <f>+'Mensual VEME2019'!L1128+'Mensual VEME2019'!L1249+'Mensual VEME2019'!L1374</f>
        <v>1</v>
      </c>
      <c r="Y403" s="193">
        <f>+L403-X403</f>
        <v>0</v>
      </c>
      <c r="Z403" s="128">
        <f>+V403+O306</f>
        <v>20001</v>
      </c>
      <c r="AB403" s="128">
        <f>+X403+R282</f>
        <v>1</v>
      </c>
      <c r="AC403" s="128">
        <f>+R403-AB403</f>
        <v>0</v>
      </c>
      <c r="AD403" s="194">
        <f>+AB403/G403</f>
        <v>1</v>
      </c>
      <c r="AE403" s="194">
        <f>+U403-AD403</f>
        <v>0</v>
      </c>
    </row>
    <row r="404" spans="1:31" ht="15.75" thickBot="1">
      <c r="A404" s="4"/>
      <c r="B404" s="342" t="s">
        <v>21</v>
      </c>
      <c r="C404" s="343"/>
      <c r="D404" s="343"/>
      <c r="E404" s="343"/>
      <c r="F404" s="344"/>
      <c r="G404" s="345"/>
      <c r="H404" s="346"/>
      <c r="I404" s="346"/>
      <c r="J404" s="346"/>
      <c r="K404" s="346"/>
      <c r="L404" s="346"/>
      <c r="M404" s="346"/>
      <c r="N404" s="347"/>
      <c r="O404" s="345"/>
      <c r="P404" s="346"/>
      <c r="Q404" s="346"/>
      <c r="R404" s="346"/>
      <c r="S404" s="346"/>
      <c r="T404" s="346"/>
      <c r="U404" s="347"/>
    </row>
    <row r="405" spans="1:31" ht="15.75" thickBot="1">
      <c r="B405" s="7"/>
      <c r="C405" s="8"/>
      <c r="D405" s="9"/>
      <c r="E405" s="10"/>
      <c r="F405" s="11"/>
      <c r="G405" s="12"/>
      <c r="H405" s="13"/>
      <c r="I405" s="14"/>
      <c r="J405" s="14"/>
      <c r="K405" s="15"/>
      <c r="L405" s="14"/>
      <c r="M405" s="15"/>
      <c r="N405" s="14"/>
      <c r="O405" s="14"/>
      <c r="P405" s="14"/>
      <c r="Q405" s="14"/>
      <c r="R405" s="15"/>
      <c r="S405" s="14"/>
      <c r="T405" s="12"/>
      <c r="U405" s="14"/>
    </row>
    <row r="406" spans="1:31" ht="16.5" customHeight="1" thickBot="1">
      <c r="A406" s="4"/>
      <c r="B406" s="306" t="s">
        <v>22</v>
      </c>
      <c r="C406" s="307"/>
      <c r="D406" s="307"/>
      <c r="E406" s="307"/>
      <c r="F406" s="308"/>
      <c r="G406" s="312" t="s">
        <v>129</v>
      </c>
      <c r="H406" s="313"/>
      <c r="I406" s="313"/>
      <c r="J406" s="313"/>
      <c r="K406" s="313"/>
      <c r="L406" s="313"/>
      <c r="M406" s="313"/>
      <c r="N406" s="313"/>
      <c r="O406" s="313"/>
      <c r="P406" s="313"/>
      <c r="Q406" s="313"/>
      <c r="R406" s="313"/>
      <c r="S406" s="313"/>
      <c r="T406" s="313"/>
      <c r="U406" s="314"/>
    </row>
    <row r="407" spans="1:31" ht="15.75" customHeight="1" thickBot="1">
      <c r="A407" s="4"/>
      <c r="B407" s="309"/>
      <c r="C407" s="310"/>
      <c r="D407" s="310"/>
      <c r="E407" s="310"/>
      <c r="F407" s="311"/>
      <c r="G407" s="315" t="s">
        <v>24</v>
      </c>
      <c r="H407" s="316"/>
      <c r="I407" s="310" t="s">
        <v>120</v>
      </c>
      <c r="J407" s="310"/>
      <c r="K407" s="310"/>
      <c r="L407" s="310"/>
      <c r="M407" s="310"/>
      <c r="N407" s="311"/>
      <c r="O407" s="321" t="s">
        <v>121</v>
      </c>
      <c r="P407" s="322"/>
      <c r="Q407" s="322"/>
      <c r="R407" s="322"/>
      <c r="S407" s="322"/>
      <c r="T407" s="322"/>
      <c r="U407" s="323"/>
    </row>
    <row r="408" spans="1:31" ht="15.75" customHeight="1" thickBot="1">
      <c r="A408" s="4"/>
      <c r="B408" s="309"/>
      <c r="C408" s="310"/>
      <c r="D408" s="310"/>
      <c r="E408" s="310"/>
      <c r="F408" s="311"/>
      <c r="G408" s="317"/>
      <c r="H408" s="318"/>
      <c r="I408" s="267" t="s">
        <v>18</v>
      </c>
      <c r="J408" s="268"/>
      <c r="K408" s="269"/>
      <c r="L408" s="267" t="s">
        <v>25</v>
      </c>
      <c r="M408" s="268"/>
      <c r="N408" s="269"/>
      <c r="O408" s="267" t="s">
        <v>18</v>
      </c>
      <c r="P408" s="268"/>
      <c r="Q408" s="324"/>
      <c r="R408" s="325" t="s">
        <v>25</v>
      </c>
      <c r="S408" s="268"/>
      <c r="T408" s="269"/>
      <c r="U408" s="326" t="s">
        <v>20</v>
      </c>
      <c r="V408" s="200" t="s">
        <v>158</v>
      </c>
      <c r="W408" s="201"/>
      <c r="X408" s="200" t="s">
        <v>159</v>
      </c>
      <c r="Y408" s="201"/>
      <c r="Z408" s="200" t="s">
        <v>161</v>
      </c>
      <c r="AA408" s="201"/>
      <c r="AB408" s="200" t="s">
        <v>160</v>
      </c>
      <c r="AC408" s="201"/>
      <c r="AD408" s="200" t="s">
        <v>162</v>
      </c>
      <c r="AE408" s="201"/>
    </row>
    <row r="409" spans="1:31" ht="25.5" customHeight="1" thickBot="1">
      <c r="A409" s="4"/>
      <c r="B409" s="309"/>
      <c r="C409" s="310"/>
      <c r="D409" s="310"/>
      <c r="E409" s="310"/>
      <c r="F409" s="311"/>
      <c r="G409" s="319"/>
      <c r="H409" s="320"/>
      <c r="I409" s="182" t="s">
        <v>26</v>
      </c>
      <c r="J409" s="184" t="s">
        <v>27</v>
      </c>
      <c r="K409" s="184" t="s">
        <v>28</v>
      </c>
      <c r="L409" s="182" t="s">
        <v>26</v>
      </c>
      <c r="M409" s="184" t="s">
        <v>27</v>
      </c>
      <c r="N409" s="183" t="s">
        <v>28</v>
      </c>
      <c r="O409" s="19" t="s">
        <v>26</v>
      </c>
      <c r="P409" s="182" t="s">
        <v>27</v>
      </c>
      <c r="Q409" s="20" t="s">
        <v>28</v>
      </c>
      <c r="R409" s="21" t="s">
        <v>26</v>
      </c>
      <c r="S409" s="181" t="s">
        <v>27</v>
      </c>
      <c r="T409" s="184" t="s">
        <v>28</v>
      </c>
      <c r="U409" s="327"/>
      <c r="V409" s="202"/>
      <c r="W409" s="203"/>
      <c r="X409" s="202"/>
      <c r="Y409" s="203"/>
      <c r="Z409" s="202"/>
      <c r="AA409" s="203"/>
      <c r="AB409" s="202"/>
      <c r="AC409" s="203"/>
      <c r="AD409" s="202"/>
      <c r="AE409" s="203"/>
    </row>
    <row r="410" spans="1:31" ht="15.75" thickBot="1">
      <c r="A410" s="4"/>
      <c r="B410" s="302" t="s">
        <v>29</v>
      </c>
      <c r="C410" s="303"/>
      <c r="D410" s="303"/>
      <c r="E410" s="303"/>
      <c r="F410" s="303"/>
      <c r="G410" s="303"/>
      <c r="H410" s="303"/>
      <c r="I410" s="303"/>
      <c r="J410" s="303"/>
      <c r="K410" s="303"/>
      <c r="L410" s="303"/>
      <c r="M410" s="303"/>
      <c r="N410" s="303"/>
      <c r="O410" s="303"/>
      <c r="P410" s="303"/>
      <c r="Q410" s="303"/>
      <c r="R410" s="303"/>
      <c r="S410" s="303"/>
      <c r="T410" s="303"/>
      <c r="U410" s="304"/>
    </row>
    <row r="411" spans="1:31" s="40" customFormat="1" ht="15.75" customHeight="1">
      <c r="A411" s="152"/>
      <c r="B411" s="287" t="s">
        <v>82</v>
      </c>
      <c r="C411" s="288"/>
      <c r="D411" s="288"/>
      <c r="E411" s="288"/>
      <c r="F411" s="289"/>
      <c r="G411" s="290">
        <v>1908</v>
      </c>
      <c r="H411" s="305"/>
      <c r="I411" s="186">
        <v>0</v>
      </c>
      <c r="J411" s="141">
        <v>0</v>
      </c>
      <c r="K411" s="141">
        <v>0</v>
      </c>
      <c r="L411" s="141">
        <v>0</v>
      </c>
      <c r="M411" s="141">
        <v>0</v>
      </c>
      <c r="N411" s="141">
        <v>0</v>
      </c>
      <c r="O411" s="141">
        <v>1908</v>
      </c>
      <c r="P411" s="141">
        <v>0</v>
      </c>
      <c r="Q411" s="154">
        <v>0</v>
      </c>
      <c r="R411" s="141">
        <v>0</v>
      </c>
      <c r="S411" s="141">
        <v>0</v>
      </c>
      <c r="T411" s="154">
        <v>0</v>
      </c>
      <c r="U411" s="155">
        <v>0</v>
      </c>
      <c r="V411" s="196">
        <f>+'Mensual VEME2019'!I1136+'Mensual VEME2019'!I1257+'Mensual VEME2019'!I1382</f>
        <v>0</v>
      </c>
      <c r="W411" s="196">
        <f>+I411-V411</f>
        <v>0</v>
      </c>
      <c r="X411" s="196">
        <f>+'Mensual VEME2019'!L1136+'Mensual VEME2019'!L1257+'Mensual VEME2019'!L1382</f>
        <v>0</v>
      </c>
      <c r="Y411" s="196">
        <f>+K411+X411</f>
        <v>0</v>
      </c>
      <c r="Z411" s="196">
        <f>+I411+O290</f>
        <v>1908</v>
      </c>
      <c r="AA411" s="196">
        <f>+O411-Z411</f>
        <v>0</v>
      </c>
      <c r="AB411" s="196">
        <f>+L411+R290</f>
        <v>0</v>
      </c>
      <c r="AC411" s="196">
        <f>+R411-AB411</f>
        <v>0</v>
      </c>
      <c r="AD411" s="197">
        <f>+AB411/G411</f>
        <v>0</v>
      </c>
      <c r="AE411" s="198">
        <f>+U411-AD411</f>
        <v>0</v>
      </c>
    </row>
    <row r="412" spans="1:31" s="40" customFormat="1" ht="15" customHeight="1">
      <c r="A412" s="152"/>
      <c r="B412" s="299" t="s">
        <v>141</v>
      </c>
      <c r="C412" s="300"/>
      <c r="D412" s="300"/>
      <c r="E412" s="300"/>
      <c r="F412" s="301"/>
      <c r="G412" s="277">
        <v>0</v>
      </c>
      <c r="H412" s="292"/>
      <c r="I412" s="142">
        <v>0</v>
      </c>
      <c r="J412" s="117">
        <v>0</v>
      </c>
      <c r="K412" s="117">
        <v>0</v>
      </c>
      <c r="L412" s="117">
        <v>8216</v>
      </c>
      <c r="M412" s="117">
        <v>0</v>
      </c>
      <c r="N412" s="117">
        <v>0</v>
      </c>
      <c r="O412" s="117">
        <v>0</v>
      </c>
      <c r="P412" s="117">
        <v>0</v>
      </c>
      <c r="Q412" s="187">
        <v>0</v>
      </c>
      <c r="R412" s="117">
        <v>8216</v>
      </c>
      <c r="S412" s="117">
        <v>0</v>
      </c>
      <c r="T412" s="117">
        <v>0</v>
      </c>
      <c r="U412" s="153">
        <f>R412/L412</f>
        <v>1</v>
      </c>
      <c r="V412" s="196">
        <f>+'Mensual VEME2019'!I1136+'Mensual VEME2019'!I1257+'Mensual VEME2019'!I1382</f>
        <v>0</v>
      </c>
      <c r="W412" s="196">
        <f>+I412-V412</f>
        <v>0</v>
      </c>
      <c r="X412" s="196">
        <f>+L412</f>
        <v>8216</v>
      </c>
      <c r="Y412" s="196">
        <f>+L412-X412</f>
        <v>0</v>
      </c>
      <c r="Z412" s="196">
        <f>+O412</f>
        <v>0</v>
      </c>
      <c r="AA412" s="196">
        <f>+O412-Z412</f>
        <v>0</v>
      </c>
      <c r="AB412" s="196">
        <f>+R412</f>
        <v>8216</v>
      </c>
      <c r="AC412" s="196">
        <f>+R412-AB412</f>
        <v>0</v>
      </c>
      <c r="AD412" s="197">
        <v>1</v>
      </c>
      <c r="AE412" s="198">
        <f>+U412-AD412</f>
        <v>0</v>
      </c>
    </row>
    <row r="413" spans="1:31" s="40" customFormat="1">
      <c r="A413" s="152"/>
      <c r="B413" s="274" t="s">
        <v>83</v>
      </c>
      <c r="C413" s="275"/>
      <c r="D413" s="275"/>
      <c r="E413" s="275"/>
      <c r="F413" s="276"/>
      <c r="G413" s="277">
        <v>9000</v>
      </c>
      <c r="H413" s="292"/>
      <c r="I413" s="142">
        <v>3000</v>
      </c>
      <c r="J413" s="117">
        <v>0</v>
      </c>
      <c r="K413" s="117">
        <v>0</v>
      </c>
      <c r="L413" s="117">
        <v>4647.1099999999997</v>
      </c>
      <c r="M413" s="117">
        <v>0</v>
      </c>
      <c r="N413" s="117">
        <v>0</v>
      </c>
      <c r="O413" s="117">
        <f>3000+3000+3000</f>
        <v>9000</v>
      </c>
      <c r="P413" s="117">
        <v>0</v>
      </c>
      <c r="Q413" s="117">
        <v>0</v>
      </c>
      <c r="R413" s="117">
        <f>0+0+0+0+0+0+0+4242.4+0+4647.11</f>
        <v>8889.5099999999984</v>
      </c>
      <c r="S413" s="117">
        <v>0</v>
      </c>
      <c r="T413" s="117">
        <v>0</v>
      </c>
      <c r="U413" s="153">
        <f t="shared" ref="U413:U432" si="130">R413/G413</f>
        <v>0.98772333333333318</v>
      </c>
      <c r="V413" s="196">
        <f>+'Mensual VEME2019'!I1384+'Mensual VEME2019'!I1259+'Mensual VEME2019'!I1137</f>
        <v>3000</v>
      </c>
      <c r="W413" s="196">
        <f t="shared" ref="W413" si="131">+I413-V413</f>
        <v>0</v>
      </c>
      <c r="X413" s="196">
        <f>+'Mensual VEME2019'!L1137+'Mensual VEME2019'!L1259+'Mensual VEME2019'!L1384</f>
        <v>4647.1099999999997</v>
      </c>
      <c r="Y413" s="196">
        <f>+L413-X413</f>
        <v>0</v>
      </c>
      <c r="Z413" s="196">
        <f>+V413+O291</f>
        <v>9000</v>
      </c>
      <c r="AA413" s="196">
        <f t="shared" ref="AA413" si="132">+O413-Z413</f>
        <v>0</v>
      </c>
      <c r="AB413" s="196">
        <f>+X413+R291</f>
        <v>8889.5099999999984</v>
      </c>
      <c r="AC413" s="196">
        <f t="shared" ref="AC413" si="133">+R413-AB413</f>
        <v>0</v>
      </c>
      <c r="AD413" s="197">
        <f t="shared" ref="AD413" si="134">+AB413/G413</f>
        <v>0.98772333333333318</v>
      </c>
      <c r="AE413" s="198">
        <f t="shared" ref="AE413" si="135">+U413-AD413</f>
        <v>0</v>
      </c>
    </row>
    <row r="414" spans="1:31" s="40" customFormat="1">
      <c r="A414" s="152"/>
      <c r="B414" s="274" t="s">
        <v>84</v>
      </c>
      <c r="C414" s="275"/>
      <c r="D414" s="275"/>
      <c r="E414" s="275"/>
      <c r="F414" s="276"/>
      <c r="G414" s="277">
        <v>15000</v>
      </c>
      <c r="H414" s="292"/>
      <c r="I414" s="142">
        <v>0</v>
      </c>
      <c r="J414" s="117">
        <v>0</v>
      </c>
      <c r="K414" s="117">
        <v>0</v>
      </c>
      <c r="L414" s="117">
        <v>6990</v>
      </c>
      <c r="M414" s="117">
        <v>0</v>
      </c>
      <c r="N414" s="117">
        <v>0</v>
      </c>
      <c r="O414" s="117">
        <v>15000</v>
      </c>
      <c r="P414" s="117">
        <v>0</v>
      </c>
      <c r="Q414" s="117">
        <v>0</v>
      </c>
      <c r="R414" s="117">
        <f>6990</f>
        <v>6990</v>
      </c>
      <c r="S414" s="117">
        <v>0</v>
      </c>
      <c r="T414" s="117">
        <v>0</v>
      </c>
      <c r="U414" s="153">
        <f t="shared" si="130"/>
        <v>0.46600000000000003</v>
      </c>
      <c r="V414" s="196">
        <f>+'Mensual VEME2019'!I1385+'Mensual VEME2019'!I1260+'Mensual VEME2019'!I1138</f>
        <v>0</v>
      </c>
      <c r="W414" s="196">
        <f t="shared" ref="W414:W417" si="136">+I414-V414</f>
        <v>0</v>
      </c>
      <c r="X414" s="196">
        <f>+'Mensual VEME2019'!L1138+'Mensual VEME2019'!L1260+'Mensual VEME2019'!L1385</f>
        <v>6990</v>
      </c>
      <c r="Y414" s="196">
        <f t="shared" ref="Y414:Y417" si="137">+L414-X414</f>
        <v>0</v>
      </c>
      <c r="Z414" s="196">
        <f t="shared" ref="Z414:Z415" si="138">+V414+O292</f>
        <v>15000</v>
      </c>
      <c r="AA414" s="196">
        <f t="shared" ref="AA414:AA417" si="139">+O414-Z414</f>
        <v>0</v>
      </c>
      <c r="AB414" s="196">
        <f t="shared" ref="AB414:AB415" si="140">+X414+R292</f>
        <v>6990</v>
      </c>
      <c r="AC414" s="196">
        <f t="shared" ref="AC414:AC417" si="141">+R414-AB414</f>
        <v>0</v>
      </c>
      <c r="AD414" s="197">
        <f t="shared" ref="AD414:AD417" si="142">+AB414/G414</f>
        <v>0.46600000000000003</v>
      </c>
      <c r="AE414" s="198">
        <f t="shared" ref="AE414:AE417" si="143">+U414-AD414</f>
        <v>0</v>
      </c>
    </row>
    <row r="415" spans="1:31" s="40" customFormat="1">
      <c r="A415" s="152"/>
      <c r="B415" s="274" t="s">
        <v>85</v>
      </c>
      <c r="C415" s="275"/>
      <c r="D415" s="275"/>
      <c r="E415" s="275"/>
      <c r="F415" s="276"/>
      <c r="G415" s="277">
        <v>2000</v>
      </c>
      <c r="H415" s="292"/>
      <c r="I415" s="142">
        <v>0</v>
      </c>
      <c r="J415" s="117">
        <v>0</v>
      </c>
      <c r="K415" s="117">
        <v>0</v>
      </c>
      <c r="L415" s="117">
        <v>0</v>
      </c>
      <c r="M415" s="117">
        <v>0</v>
      </c>
      <c r="N415" s="117">
        <v>0</v>
      </c>
      <c r="O415" s="117">
        <v>2000</v>
      </c>
      <c r="P415" s="117">
        <v>0</v>
      </c>
      <c r="Q415" s="117">
        <v>0</v>
      </c>
      <c r="R415" s="117">
        <v>2000</v>
      </c>
      <c r="S415" s="117">
        <v>0</v>
      </c>
      <c r="T415" s="117">
        <v>0</v>
      </c>
      <c r="U415" s="153">
        <f t="shared" si="130"/>
        <v>1</v>
      </c>
      <c r="V415" s="196">
        <f>+'Mensual VEME2019'!I1386+'Mensual VEME2019'!I1261+'Mensual VEME2019'!I1139</f>
        <v>0</v>
      </c>
      <c r="W415" s="196">
        <f t="shared" si="136"/>
        <v>0</v>
      </c>
      <c r="X415" s="196">
        <f>+'Mensual VEME2019'!L1139+'Mensual VEME2019'!L1261+'Mensual VEME2019'!L1386</f>
        <v>0</v>
      </c>
      <c r="Y415" s="196">
        <f t="shared" si="137"/>
        <v>0</v>
      </c>
      <c r="Z415" s="196">
        <f t="shared" si="138"/>
        <v>2000</v>
      </c>
      <c r="AA415" s="196">
        <f t="shared" si="139"/>
        <v>0</v>
      </c>
      <c r="AB415" s="196">
        <f t="shared" si="140"/>
        <v>2000</v>
      </c>
      <c r="AC415" s="196">
        <f t="shared" si="141"/>
        <v>0</v>
      </c>
      <c r="AD415" s="197">
        <f t="shared" si="142"/>
        <v>1</v>
      </c>
      <c r="AE415" s="198">
        <f t="shared" si="143"/>
        <v>0</v>
      </c>
    </row>
    <row r="416" spans="1:31" s="40" customFormat="1">
      <c r="A416" s="152"/>
      <c r="B416" s="299" t="s">
        <v>142</v>
      </c>
      <c r="C416" s="300"/>
      <c r="D416" s="300"/>
      <c r="E416" s="300"/>
      <c r="F416" s="301"/>
      <c r="G416" s="277">
        <v>0</v>
      </c>
      <c r="H416" s="292"/>
      <c r="I416" s="142">
        <v>0</v>
      </c>
      <c r="J416" s="117">
        <v>0</v>
      </c>
      <c r="K416" s="117">
        <v>0</v>
      </c>
      <c r="L416" s="117">
        <v>1841.4</v>
      </c>
      <c r="M416" s="117">
        <v>0</v>
      </c>
      <c r="N416" s="117">
        <v>0</v>
      </c>
      <c r="O416" s="117">
        <v>0</v>
      </c>
      <c r="P416" s="117">
        <v>0</v>
      </c>
      <c r="Q416" s="117">
        <v>0</v>
      </c>
      <c r="R416" s="117">
        <v>1841.4</v>
      </c>
      <c r="S416" s="117">
        <v>0</v>
      </c>
      <c r="T416" s="117">
        <v>0</v>
      </c>
      <c r="U416" s="153">
        <f>R416/L416</f>
        <v>1</v>
      </c>
      <c r="V416" s="196">
        <f>+I416</f>
        <v>0</v>
      </c>
      <c r="W416" s="196">
        <f t="shared" si="136"/>
        <v>0</v>
      </c>
      <c r="X416" s="196">
        <f>+L416</f>
        <v>1841.4</v>
      </c>
      <c r="Y416" s="196">
        <f t="shared" si="137"/>
        <v>0</v>
      </c>
      <c r="Z416" s="196">
        <f>+O416</f>
        <v>0</v>
      </c>
      <c r="AA416" s="196">
        <f t="shared" si="139"/>
        <v>0</v>
      </c>
      <c r="AB416" s="196">
        <f>+R416</f>
        <v>1841.4</v>
      </c>
      <c r="AC416" s="196">
        <f t="shared" si="141"/>
        <v>0</v>
      </c>
      <c r="AD416" s="197">
        <v>1</v>
      </c>
      <c r="AE416" s="198">
        <f t="shared" si="143"/>
        <v>0</v>
      </c>
    </row>
    <row r="417" spans="1:31" s="40" customFormat="1">
      <c r="A417" s="152"/>
      <c r="B417" s="274" t="s">
        <v>119</v>
      </c>
      <c r="C417" s="275"/>
      <c r="D417" s="275"/>
      <c r="E417" s="275"/>
      <c r="F417" s="276"/>
      <c r="G417" s="277">
        <v>198000</v>
      </c>
      <c r="H417" s="292"/>
      <c r="I417" s="142">
        <v>49500</v>
      </c>
      <c r="J417" s="117">
        <v>0</v>
      </c>
      <c r="K417" s="117">
        <v>0</v>
      </c>
      <c r="L417" s="117">
        <v>53533.08</v>
      </c>
      <c r="M417" s="117">
        <v>0</v>
      </c>
      <c r="N417" s="117">
        <v>0</v>
      </c>
      <c r="O417" s="117">
        <f>16500+16500+16500+16500+16500+16500+16500+16500+16500+16500+16500+16500</f>
        <v>198000</v>
      </c>
      <c r="P417" s="117">
        <v>0</v>
      </c>
      <c r="Q417" s="117">
        <v>0</v>
      </c>
      <c r="R417" s="117">
        <f>0+0+0+5000+2500+5000+64350.4+20000+53800.17+2380.22+46650.53+4502.33</f>
        <v>204183.65</v>
      </c>
      <c r="S417" s="117">
        <v>0</v>
      </c>
      <c r="T417" s="117">
        <v>0</v>
      </c>
      <c r="U417" s="153">
        <f t="shared" si="130"/>
        <v>1.0312305555555554</v>
      </c>
      <c r="V417" s="196">
        <f>+'Mensual VEME2019'!I1140+'Mensual VEME2019'!I1263+'Mensual VEME2019'!I1388</f>
        <v>49500</v>
      </c>
      <c r="W417" s="196">
        <f t="shared" si="136"/>
        <v>0</v>
      </c>
      <c r="X417" s="196">
        <f>+'Mensual VEME2019'!L1388+'Mensual VEME2019'!L1263+'Mensual VEME2019'!L1140</f>
        <v>53533.08</v>
      </c>
      <c r="Y417" s="196">
        <f t="shared" si="137"/>
        <v>0</v>
      </c>
      <c r="Z417" s="196">
        <f>+V417+O294</f>
        <v>198000</v>
      </c>
      <c r="AA417" s="196">
        <f t="shared" si="139"/>
        <v>0</v>
      </c>
      <c r="AB417" s="196">
        <f>+X417+R294</f>
        <v>204183.65000000002</v>
      </c>
      <c r="AC417" s="196">
        <f t="shared" si="141"/>
        <v>0</v>
      </c>
      <c r="AD417" s="197">
        <f t="shared" si="142"/>
        <v>1.0312305555555557</v>
      </c>
      <c r="AE417" s="198">
        <f t="shared" si="143"/>
        <v>0</v>
      </c>
    </row>
    <row r="418" spans="1:31" s="40" customFormat="1">
      <c r="A418" s="152"/>
      <c r="B418" s="274" t="s">
        <v>130</v>
      </c>
      <c r="C418" s="275"/>
      <c r="D418" s="275"/>
      <c r="E418" s="275"/>
      <c r="F418" s="276"/>
      <c r="G418" s="277">
        <v>13000</v>
      </c>
      <c r="H418" s="292"/>
      <c r="I418" s="142">
        <v>13000</v>
      </c>
      <c r="J418" s="117">
        <v>0</v>
      </c>
      <c r="K418" s="117">
        <v>0</v>
      </c>
      <c r="L418" s="117">
        <v>13000</v>
      </c>
      <c r="M418" s="117">
        <v>0</v>
      </c>
      <c r="N418" s="117">
        <v>0</v>
      </c>
      <c r="O418" s="117">
        <v>13000</v>
      </c>
      <c r="P418" s="117">
        <v>0</v>
      </c>
      <c r="Q418" s="117">
        <v>0</v>
      </c>
      <c r="R418" s="117">
        <v>13000</v>
      </c>
      <c r="S418" s="117">
        <v>0</v>
      </c>
      <c r="T418" s="117">
        <v>0</v>
      </c>
      <c r="U418" s="153">
        <f t="shared" si="130"/>
        <v>1</v>
      </c>
      <c r="V418" s="196">
        <f>+'Mensual VEME2019'!I1141+'Mensual VEME2019'!I1264+'Mensual VEME2019'!I1389</f>
        <v>13000</v>
      </c>
      <c r="W418" s="196">
        <f t="shared" ref="W418:W420" si="144">+I418-V418</f>
        <v>0</v>
      </c>
      <c r="X418" s="196">
        <f>+'Mensual VEME2019'!L1389+'Mensual VEME2019'!L1264+'Mensual VEME2019'!L1141</f>
        <v>13000</v>
      </c>
      <c r="Y418" s="196">
        <f t="shared" ref="Y418:Y419" si="145">+L418-X418</f>
        <v>0</v>
      </c>
      <c r="Z418" s="196">
        <f t="shared" ref="Z418" si="146">+V418+O295</f>
        <v>13000</v>
      </c>
      <c r="AA418" s="196">
        <f t="shared" ref="AA418:AA420" si="147">+O418-Z418</f>
        <v>0</v>
      </c>
      <c r="AB418" s="196">
        <f t="shared" ref="AB418" si="148">+X418+R295</f>
        <v>13000</v>
      </c>
      <c r="AC418" s="196">
        <f t="shared" ref="AC418:AC420" si="149">+R418-AB418</f>
        <v>0</v>
      </c>
      <c r="AD418" s="197">
        <f t="shared" ref="AD418:AD420" si="150">+AB418/G418</f>
        <v>1</v>
      </c>
      <c r="AE418" s="198">
        <f t="shared" ref="AE418:AE420" si="151">+U418-AD418</f>
        <v>0</v>
      </c>
    </row>
    <row r="419" spans="1:31" s="40" customFormat="1">
      <c r="A419" s="152"/>
      <c r="B419" s="274" t="s">
        <v>147</v>
      </c>
      <c r="C419" s="275"/>
      <c r="D419" s="275"/>
      <c r="E419" s="275"/>
      <c r="F419" s="276"/>
      <c r="G419" s="277">
        <v>0</v>
      </c>
      <c r="H419" s="292"/>
      <c r="I419" s="142">
        <v>0</v>
      </c>
      <c r="J419" s="117">
        <v>0</v>
      </c>
      <c r="K419" s="117">
        <v>0</v>
      </c>
      <c r="L419" s="117">
        <v>7225.74</v>
      </c>
      <c r="M419" s="117">
        <v>0</v>
      </c>
      <c r="N419" s="117">
        <v>0</v>
      </c>
      <c r="O419" s="117">
        <v>0</v>
      </c>
      <c r="P419" s="117">
        <v>0</v>
      </c>
      <c r="Q419" s="117">
        <v>0</v>
      </c>
      <c r="R419" s="117">
        <v>7225.74</v>
      </c>
      <c r="S419" s="117">
        <v>0</v>
      </c>
      <c r="T419" s="117">
        <v>0</v>
      </c>
      <c r="U419" s="153">
        <f>R419/L419</f>
        <v>1</v>
      </c>
      <c r="V419" s="196">
        <f>+'Mensual VEME2019'!I1142+'Mensual VEME2019'!I1265+'Mensual VEME2019'!I1390</f>
        <v>0</v>
      </c>
      <c r="W419" s="196">
        <f t="shared" si="144"/>
        <v>0</v>
      </c>
      <c r="X419" s="196">
        <f>+L419</f>
        <v>7225.74</v>
      </c>
      <c r="Y419" s="196">
        <f t="shared" si="145"/>
        <v>0</v>
      </c>
      <c r="Z419" s="196">
        <f>+P419</f>
        <v>0</v>
      </c>
      <c r="AA419" s="196">
        <f t="shared" si="147"/>
        <v>0</v>
      </c>
      <c r="AB419" s="196">
        <f>+R419</f>
        <v>7225.74</v>
      </c>
      <c r="AC419" s="196">
        <f t="shared" si="149"/>
        <v>0</v>
      </c>
      <c r="AD419" s="197">
        <v>1</v>
      </c>
      <c r="AE419" s="198">
        <f t="shared" si="151"/>
        <v>0</v>
      </c>
    </row>
    <row r="420" spans="1:31" s="40" customFormat="1">
      <c r="A420" s="152"/>
      <c r="B420" s="274" t="s">
        <v>86</v>
      </c>
      <c r="C420" s="275"/>
      <c r="D420" s="275"/>
      <c r="E420" s="275"/>
      <c r="F420" s="276"/>
      <c r="G420" s="277">
        <v>30000</v>
      </c>
      <c r="H420" s="292"/>
      <c r="I420" s="142">
        <v>0</v>
      </c>
      <c r="J420" s="117">
        <v>0</v>
      </c>
      <c r="K420" s="117">
        <v>0</v>
      </c>
      <c r="L420" s="117">
        <v>9200</v>
      </c>
      <c r="M420" s="117">
        <v>0</v>
      </c>
      <c r="N420" s="117">
        <v>0</v>
      </c>
      <c r="O420" s="117">
        <v>30000</v>
      </c>
      <c r="P420" s="117">
        <v>0</v>
      </c>
      <c r="Q420" s="117">
        <v>0</v>
      </c>
      <c r="R420" s="117">
        <f>9200</f>
        <v>9200</v>
      </c>
      <c r="S420" s="117">
        <v>0</v>
      </c>
      <c r="T420" s="117">
        <v>0</v>
      </c>
      <c r="U420" s="153">
        <f t="shared" si="130"/>
        <v>0.30666666666666664</v>
      </c>
      <c r="V420" s="196">
        <f>+'Mensual VEME2019'!I1142+'Mensual VEME2019'!I1265+'Mensual VEME2019'!I1391</f>
        <v>0</v>
      </c>
      <c r="W420" s="196">
        <f t="shared" si="144"/>
        <v>0</v>
      </c>
      <c r="X420" s="196">
        <f>+'Mensual VEME2019'!L1142+'Mensual VEME2019'!L1265+'Mensual VEME2019'!L1391</f>
        <v>9200</v>
      </c>
      <c r="Y420" s="196">
        <f>+R420-X420</f>
        <v>0</v>
      </c>
      <c r="Z420" s="196">
        <f>+V420+O296</f>
        <v>30000</v>
      </c>
      <c r="AA420" s="196">
        <f t="shared" si="147"/>
        <v>0</v>
      </c>
      <c r="AB420" s="196">
        <f>+L420+R296</f>
        <v>9200</v>
      </c>
      <c r="AC420" s="196">
        <f t="shared" si="149"/>
        <v>0</v>
      </c>
      <c r="AD420" s="197">
        <f t="shared" si="150"/>
        <v>0.30666666666666664</v>
      </c>
      <c r="AE420" s="198">
        <f t="shared" si="151"/>
        <v>0</v>
      </c>
    </row>
    <row r="421" spans="1:31" s="40" customFormat="1">
      <c r="A421" s="152"/>
      <c r="B421" s="274" t="s">
        <v>88</v>
      </c>
      <c r="C421" s="275"/>
      <c r="D421" s="275"/>
      <c r="E421" s="275"/>
      <c r="F421" s="276"/>
      <c r="G421" s="277">
        <v>5800</v>
      </c>
      <c r="H421" s="292"/>
      <c r="I421" s="142">
        <v>0</v>
      </c>
      <c r="J421" s="117">
        <v>0</v>
      </c>
      <c r="K421" s="117">
        <v>0</v>
      </c>
      <c r="L421" s="117">
        <v>0</v>
      </c>
      <c r="M421" s="117">
        <v>0</v>
      </c>
      <c r="N421" s="117">
        <v>0</v>
      </c>
      <c r="O421" s="117">
        <f>2900+2900</f>
        <v>5800</v>
      </c>
      <c r="P421" s="117">
        <v>0</v>
      </c>
      <c r="Q421" s="117">
        <v>0</v>
      </c>
      <c r="R421" s="117">
        <v>5800</v>
      </c>
      <c r="S421" s="117">
        <v>0</v>
      </c>
      <c r="T421" s="117">
        <v>0</v>
      </c>
      <c r="U421" s="153">
        <f t="shared" si="130"/>
        <v>1</v>
      </c>
      <c r="V421" s="196">
        <f>+'Mensual VEME2019'!I1392+'Mensual VEME2019'!I1266+'Mensual VEME2019'!I1143</f>
        <v>0</v>
      </c>
      <c r="W421" s="196">
        <f t="shared" ref="W421" si="152">+I421-V421</f>
        <v>0</v>
      </c>
      <c r="X421" s="196">
        <f>+'Mensual VEME2019'!L1392+'Mensual VEME2019'!L1266+'Mensual VEME2019'!L1143</f>
        <v>0</v>
      </c>
      <c r="Y421" s="196">
        <f>+L421-X421</f>
        <v>0</v>
      </c>
      <c r="Z421" s="196">
        <f>+V421+O297</f>
        <v>5800</v>
      </c>
      <c r="AA421" s="196">
        <f t="shared" ref="AA421" si="153">+O421-Z421</f>
        <v>0</v>
      </c>
      <c r="AB421" s="196">
        <f>+X421+R297</f>
        <v>5800</v>
      </c>
      <c r="AC421" s="196">
        <f t="shared" ref="AC421" si="154">+R421-AB421</f>
        <v>0</v>
      </c>
      <c r="AD421" s="197">
        <f t="shared" ref="AD421" si="155">+AB421/G421</f>
        <v>1</v>
      </c>
      <c r="AE421" s="198">
        <f t="shared" ref="AE421" si="156">+U421-AD421</f>
        <v>0</v>
      </c>
    </row>
    <row r="422" spans="1:31" s="40" customFormat="1" ht="15" customHeight="1">
      <c r="A422" s="152"/>
      <c r="B422" s="274" t="s">
        <v>131</v>
      </c>
      <c r="C422" s="275"/>
      <c r="D422" s="275"/>
      <c r="E422" s="275"/>
      <c r="F422" s="276"/>
      <c r="G422" s="277">
        <v>40000</v>
      </c>
      <c r="H422" s="292"/>
      <c r="I422" s="142">
        <v>16000</v>
      </c>
      <c r="J422" s="117">
        <v>0</v>
      </c>
      <c r="K422" s="117">
        <v>0</v>
      </c>
      <c r="L422" s="117">
        <v>23385.32</v>
      </c>
      <c r="M422" s="117">
        <v>0</v>
      </c>
      <c r="N422" s="117">
        <v>0</v>
      </c>
      <c r="O422" s="117">
        <f>8000+8000+8000+8000+8000</f>
        <v>40000</v>
      </c>
      <c r="P422" s="117">
        <v>0</v>
      </c>
      <c r="Q422" s="117">
        <v>0</v>
      </c>
      <c r="R422" s="117">
        <f>0+0+0+0+0+0+4176+5684+6754.68+6554+8413+8418.32</f>
        <v>40000</v>
      </c>
      <c r="S422" s="117">
        <v>0</v>
      </c>
      <c r="T422" s="117">
        <v>0</v>
      </c>
      <c r="U422" s="153">
        <f t="shared" si="130"/>
        <v>1</v>
      </c>
      <c r="V422" s="196">
        <f>+'Mensual VEME2019'!I1393+'Mensual VEME2019'!I1267+'Mensual VEME2019'!I1144</f>
        <v>16000</v>
      </c>
      <c r="W422" s="196">
        <f t="shared" ref="W422:W425" si="157">+I422-V422</f>
        <v>0</v>
      </c>
      <c r="X422" s="196">
        <f>+'Mensual VEME2019'!L1393+'Mensual VEME2019'!L1267+'Mensual VEME2019'!L1144</f>
        <v>23385.32</v>
      </c>
      <c r="Y422" s="196">
        <f t="shared" ref="Y422:Y424" si="158">+L422-X422</f>
        <v>0</v>
      </c>
      <c r="Z422" s="196">
        <f t="shared" ref="Z422:Z423" si="159">+V422+O298</f>
        <v>40000</v>
      </c>
      <c r="AA422" s="196">
        <f t="shared" ref="AA422:AA425" si="160">+O422-Z422</f>
        <v>0</v>
      </c>
      <c r="AB422" s="196">
        <f t="shared" ref="AB422:AB423" si="161">+X422+R298</f>
        <v>40000</v>
      </c>
      <c r="AC422" s="196">
        <f t="shared" ref="AC422:AC425" si="162">+R422-AB422</f>
        <v>0</v>
      </c>
      <c r="AD422" s="197">
        <f t="shared" ref="AD422:AD425" si="163">+AB422/G422</f>
        <v>1</v>
      </c>
      <c r="AE422" s="198">
        <f t="shared" ref="AE422:AE425" si="164">+U422-AD422</f>
        <v>0</v>
      </c>
    </row>
    <row r="423" spans="1:31" s="40" customFormat="1" ht="15" customHeight="1">
      <c r="A423" s="152"/>
      <c r="B423" s="274" t="s">
        <v>87</v>
      </c>
      <c r="C423" s="275"/>
      <c r="D423" s="275"/>
      <c r="E423" s="275"/>
      <c r="F423" s="276"/>
      <c r="G423" s="277">
        <v>9000</v>
      </c>
      <c r="H423" s="292"/>
      <c r="I423" s="142">
        <v>0</v>
      </c>
      <c r="J423" s="117">
        <v>0</v>
      </c>
      <c r="K423" s="117">
        <v>0</v>
      </c>
      <c r="L423" s="117">
        <v>5620.92</v>
      </c>
      <c r="M423" s="117">
        <v>0</v>
      </c>
      <c r="N423" s="117">
        <v>0</v>
      </c>
      <c r="O423" s="117">
        <f>3000+3000+3000</f>
        <v>9000</v>
      </c>
      <c r="P423" s="117">
        <v>0</v>
      </c>
      <c r="Q423" s="117">
        <v>0</v>
      </c>
      <c r="R423" s="117">
        <f>0+0+0+0+0+0+0+3379.08+0+3325.05+2295.87</f>
        <v>9000</v>
      </c>
      <c r="S423" s="117">
        <v>0</v>
      </c>
      <c r="T423" s="117">
        <v>0</v>
      </c>
      <c r="U423" s="153">
        <f t="shared" si="130"/>
        <v>1</v>
      </c>
      <c r="V423" s="196">
        <f>+'Mensual VEME2019'!I1394+'Mensual VEME2019'!I1268+'Mensual VEME2019'!I1145</f>
        <v>0</v>
      </c>
      <c r="W423" s="196">
        <f t="shared" si="157"/>
        <v>0</v>
      </c>
      <c r="X423" s="196">
        <f>+'Mensual VEME2019'!L1394+'Mensual VEME2019'!L1268+'Mensual VEME2019'!L1145</f>
        <v>5620.92</v>
      </c>
      <c r="Y423" s="196">
        <f t="shared" si="158"/>
        <v>0</v>
      </c>
      <c r="Z423" s="196">
        <f t="shared" si="159"/>
        <v>9000</v>
      </c>
      <c r="AA423" s="196">
        <f t="shared" si="160"/>
        <v>0</v>
      </c>
      <c r="AB423" s="196">
        <f t="shared" si="161"/>
        <v>9000</v>
      </c>
      <c r="AC423" s="196">
        <f t="shared" si="162"/>
        <v>0</v>
      </c>
      <c r="AD423" s="197">
        <f t="shared" si="163"/>
        <v>1</v>
      </c>
      <c r="AE423" s="198">
        <f t="shared" si="164"/>
        <v>0</v>
      </c>
    </row>
    <row r="424" spans="1:31" s="40" customFormat="1">
      <c r="A424" s="152"/>
      <c r="B424" s="274" t="s">
        <v>146</v>
      </c>
      <c r="C424" s="275"/>
      <c r="D424" s="275"/>
      <c r="E424" s="275"/>
      <c r="F424" s="276"/>
      <c r="G424" s="277">
        <v>0</v>
      </c>
      <c r="H424" s="292"/>
      <c r="I424" s="142">
        <v>0</v>
      </c>
      <c r="J424" s="117">
        <v>0</v>
      </c>
      <c r="K424" s="117">
        <v>0</v>
      </c>
      <c r="L424" s="117">
        <v>540</v>
      </c>
      <c r="M424" s="117">
        <v>0</v>
      </c>
      <c r="N424" s="117">
        <v>0</v>
      </c>
      <c r="O424" s="117">
        <v>0</v>
      </c>
      <c r="P424" s="117">
        <v>0</v>
      </c>
      <c r="Q424" s="117">
        <v>0</v>
      </c>
      <c r="R424" s="117">
        <v>540</v>
      </c>
      <c r="S424" s="117">
        <v>0</v>
      </c>
      <c r="T424" s="117">
        <v>0</v>
      </c>
      <c r="U424" s="153">
        <f>R424/L424</f>
        <v>1</v>
      </c>
      <c r="V424" s="196">
        <f>+'Mensual VEME2019'!I1395+'Mensual VEME2019'!I1269+'Mensual VEME2019'!I1146</f>
        <v>0</v>
      </c>
      <c r="W424" s="196">
        <f t="shared" si="157"/>
        <v>0</v>
      </c>
      <c r="X424" s="196">
        <f>+L424</f>
        <v>540</v>
      </c>
      <c r="Y424" s="196">
        <f t="shared" si="158"/>
        <v>0</v>
      </c>
      <c r="Z424" s="196">
        <f>+O424</f>
        <v>0</v>
      </c>
      <c r="AA424" s="196">
        <f t="shared" si="160"/>
        <v>0</v>
      </c>
      <c r="AB424" s="196">
        <f>+R424</f>
        <v>540</v>
      </c>
      <c r="AC424" s="196">
        <f t="shared" si="162"/>
        <v>0</v>
      </c>
      <c r="AD424" s="197">
        <v>1</v>
      </c>
      <c r="AE424" s="198">
        <f t="shared" si="164"/>
        <v>0</v>
      </c>
    </row>
    <row r="425" spans="1:31" s="40" customFormat="1" ht="15" customHeight="1">
      <c r="A425" s="152"/>
      <c r="B425" s="274" t="s">
        <v>89</v>
      </c>
      <c r="C425" s="275"/>
      <c r="D425" s="275"/>
      <c r="E425" s="275"/>
      <c r="F425" s="276"/>
      <c r="G425" s="277">
        <v>8000</v>
      </c>
      <c r="H425" s="292"/>
      <c r="I425" s="142">
        <v>0</v>
      </c>
      <c r="J425" s="117">
        <v>0</v>
      </c>
      <c r="K425" s="117">
        <v>0</v>
      </c>
      <c r="L425" s="117">
        <v>3506</v>
      </c>
      <c r="M425" s="117">
        <v>0</v>
      </c>
      <c r="N425" s="117">
        <v>0</v>
      </c>
      <c r="O425" s="117">
        <v>8000</v>
      </c>
      <c r="P425" s="117">
        <v>0</v>
      </c>
      <c r="Q425" s="117">
        <v>0</v>
      </c>
      <c r="R425" s="117">
        <f>0+0+0+0+0+0+0+0+0+3506</f>
        <v>3506</v>
      </c>
      <c r="S425" s="117">
        <v>0</v>
      </c>
      <c r="T425" s="117">
        <v>0</v>
      </c>
      <c r="U425" s="153">
        <f t="shared" si="130"/>
        <v>0.43824999999999997</v>
      </c>
      <c r="V425" s="196">
        <f>+'Mensual VEME2019'!I1395+'Mensual VEME2019'!I1269+'Mensual VEME2019'!I1146</f>
        <v>0</v>
      </c>
      <c r="W425" s="196">
        <f t="shared" si="157"/>
        <v>0</v>
      </c>
      <c r="X425" s="196">
        <f>+'Mensual VEME2019'!L1146+'Mensual VEME2019'!L1269+'Mensual VEME2019'!L1396</f>
        <v>3506</v>
      </c>
      <c r="Y425" s="196">
        <f>+L425-X425</f>
        <v>0</v>
      </c>
      <c r="Z425" s="196">
        <f>+V425+O300</f>
        <v>8000</v>
      </c>
      <c r="AA425" s="196">
        <f t="shared" si="160"/>
        <v>0</v>
      </c>
      <c r="AB425" s="196">
        <f>+X425+R300</f>
        <v>3506</v>
      </c>
      <c r="AC425" s="196">
        <f t="shared" si="162"/>
        <v>0</v>
      </c>
      <c r="AD425" s="197">
        <f t="shared" si="163"/>
        <v>0.43824999999999997</v>
      </c>
      <c r="AE425" s="198">
        <f t="shared" si="164"/>
        <v>0</v>
      </c>
    </row>
    <row r="426" spans="1:31" s="40" customFormat="1" ht="15" customHeight="1">
      <c r="A426" s="152"/>
      <c r="B426" s="299" t="s">
        <v>140</v>
      </c>
      <c r="C426" s="300"/>
      <c r="D426" s="300"/>
      <c r="E426" s="300"/>
      <c r="F426" s="301"/>
      <c r="G426" s="277">
        <v>0</v>
      </c>
      <c r="H426" s="292"/>
      <c r="I426" s="142">
        <v>0</v>
      </c>
      <c r="J426" s="117">
        <v>0</v>
      </c>
      <c r="K426" s="117">
        <v>0</v>
      </c>
      <c r="L426" s="117">
        <v>22245.599999999999</v>
      </c>
      <c r="M426" s="117">
        <v>0</v>
      </c>
      <c r="N426" s="117">
        <v>0</v>
      </c>
      <c r="O426" s="117">
        <v>0</v>
      </c>
      <c r="P426" s="117">
        <v>0</v>
      </c>
      <c r="Q426" s="117">
        <v>0</v>
      </c>
      <c r="R426" s="117">
        <v>22245.599999999999</v>
      </c>
      <c r="S426" s="117">
        <v>0</v>
      </c>
      <c r="T426" s="117">
        <v>0</v>
      </c>
      <c r="U426" s="153">
        <f>R426/L426</f>
        <v>1</v>
      </c>
      <c r="V426" s="196">
        <f>+I426</f>
        <v>0</v>
      </c>
      <c r="W426" s="196">
        <f t="shared" ref="W426:W427" si="165">+I426-V426</f>
        <v>0</v>
      </c>
      <c r="X426" s="196">
        <f>+L426</f>
        <v>22245.599999999999</v>
      </c>
      <c r="Y426" s="196">
        <f t="shared" ref="Y426:Y427" si="166">+L426-X426</f>
        <v>0</v>
      </c>
      <c r="Z426" s="196">
        <f>+O426</f>
        <v>0</v>
      </c>
      <c r="AA426" s="196">
        <f t="shared" ref="AA426:AA427" si="167">+O426-Z426</f>
        <v>0</v>
      </c>
      <c r="AB426" s="196">
        <f>+R426</f>
        <v>22245.599999999999</v>
      </c>
      <c r="AC426" s="196">
        <f t="shared" ref="AC426:AC427" si="168">+R426-AB426</f>
        <v>0</v>
      </c>
      <c r="AD426" s="197">
        <v>1</v>
      </c>
      <c r="AE426" s="198">
        <f t="shared" ref="AE426:AE427" si="169">+U426-AD426</f>
        <v>0</v>
      </c>
    </row>
    <row r="427" spans="1:31" s="40" customFormat="1" ht="15" customHeight="1">
      <c r="A427" s="152"/>
      <c r="B427" s="274" t="s">
        <v>90</v>
      </c>
      <c r="C427" s="275"/>
      <c r="D427" s="275"/>
      <c r="E427" s="275"/>
      <c r="F427" s="276"/>
      <c r="G427" s="277">
        <v>9000</v>
      </c>
      <c r="H427" s="292"/>
      <c r="I427" s="142">
        <v>0</v>
      </c>
      <c r="J427" s="117">
        <v>0</v>
      </c>
      <c r="K427" s="117">
        <v>0</v>
      </c>
      <c r="L427" s="117">
        <v>4382.88</v>
      </c>
      <c r="M427" s="117">
        <v>0</v>
      </c>
      <c r="N427" s="117">
        <v>0</v>
      </c>
      <c r="O427" s="117">
        <f>3000+3000+3000</f>
        <v>9000</v>
      </c>
      <c r="P427" s="117">
        <v>0</v>
      </c>
      <c r="Q427" s="117">
        <v>0</v>
      </c>
      <c r="R427" s="117">
        <f>0+0+0+0+0+0+0+0+4617.12+0+3212.5+1170.38</f>
        <v>9000</v>
      </c>
      <c r="S427" s="117">
        <v>0</v>
      </c>
      <c r="T427" s="117">
        <v>0</v>
      </c>
      <c r="U427" s="153">
        <f t="shared" si="130"/>
        <v>1</v>
      </c>
      <c r="V427" s="196">
        <f>+'Mensual VEME2019'!I1398+'Mensual VEME2019'!I1271+'Mensual VEME2019'!I1147</f>
        <v>0</v>
      </c>
      <c r="W427" s="196">
        <f t="shared" si="165"/>
        <v>0</v>
      </c>
      <c r="X427" s="196">
        <f>+'Mensual VEME2019'!L1147+'Mensual VEME2019'!L1271+'Mensual VEME2019'!L1398</f>
        <v>4382.88</v>
      </c>
      <c r="Y427" s="196">
        <f t="shared" si="166"/>
        <v>0</v>
      </c>
      <c r="Z427" s="196">
        <f>+V427+O301</f>
        <v>9000</v>
      </c>
      <c r="AA427" s="196">
        <f t="shared" si="167"/>
        <v>0</v>
      </c>
      <c r="AB427" s="196">
        <f>+X427+R301</f>
        <v>9000</v>
      </c>
      <c r="AC427" s="196">
        <f t="shared" si="168"/>
        <v>0</v>
      </c>
      <c r="AD427" s="197">
        <f t="shared" ref="AD427" si="170">+AB427/G427</f>
        <v>1</v>
      </c>
      <c r="AE427" s="198">
        <f t="shared" si="169"/>
        <v>0</v>
      </c>
    </row>
    <row r="428" spans="1:31" s="40" customFormat="1" ht="15" customHeight="1">
      <c r="A428" s="152"/>
      <c r="B428" s="274" t="s">
        <v>64</v>
      </c>
      <c r="C428" s="275"/>
      <c r="D428" s="275"/>
      <c r="E428" s="275"/>
      <c r="F428" s="276"/>
      <c r="G428" s="277">
        <v>3750</v>
      </c>
      <c r="H428" s="292"/>
      <c r="I428" s="142">
        <v>1250</v>
      </c>
      <c r="J428" s="117">
        <v>0</v>
      </c>
      <c r="K428" s="117">
        <v>0</v>
      </c>
      <c r="L428" s="117">
        <v>928</v>
      </c>
      <c r="M428" s="117">
        <v>0</v>
      </c>
      <c r="N428" s="117">
        <v>0</v>
      </c>
      <c r="O428" s="117">
        <f>1250+1250+1250</f>
        <v>3750</v>
      </c>
      <c r="P428" s="117">
        <v>0</v>
      </c>
      <c r="Q428" s="117">
        <v>0</v>
      </c>
      <c r="R428" s="117">
        <f>622+200+184+622+122</f>
        <v>1750</v>
      </c>
      <c r="S428" s="117">
        <v>0</v>
      </c>
      <c r="T428" s="117">
        <v>0</v>
      </c>
      <c r="U428" s="153">
        <f t="shared" si="130"/>
        <v>0.46666666666666667</v>
      </c>
      <c r="V428" s="196">
        <f>+'Mensual VEME2019'!I1399+'Mensual VEME2019'!I1272+'Mensual VEME2019'!I1148</f>
        <v>1250</v>
      </c>
      <c r="W428" s="196">
        <f t="shared" ref="W428:W431" si="171">+I428-V428</f>
        <v>0</v>
      </c>
      <c r="X428" s="196">
        <f>+'Mensual VEME2019'!L1148+'Mensual VEME2019'!L1272+'Mensual VEME2019'!L1399</f>
        <v>928</v>
      </c>
      <c r="Y428" s="196">
        <f t="shared" ref="Y428:Y431" si="172">+L428-X428</f>
        <v>0</v>
      </c>
      <c r="Z428" s="196">
        <f t="shared" ref="Z428" si="173">+V428+O302</f>
        <v>3750</v>
      </c>
      <c r="AA428" s="196">
        <f t="shared" ref="AA428:AA431" si="174">+O428-Z428</f>
        <v>0</v>
      </c>
      <c r="AB428" s="196">
        <f t="shared" ref="AB428" si="175">+X428+R302</f>
        <v>1750</v>
      </c>
      <c r="AC428" s="196">
        <f t="shared" ref="AC428:AC431" si="176">+R428-AB428</f>
        <v>0</v>
      </c>
      <c r="AD428" s="197">
        <f t="shared" ref="AD428:AD431" si="177">+AB428/G428</f>
        <v>0.46666666666666667</v>
      </c>
      <c r="AE428" s="198">
        <f t="shared" ref="AE428:AE431" si="178">+U428-AD428</f>
        <v>0</v>
      </c>
    </row>
    <row r="429" spans="1:31" s="40" customFormat="1">
      <c r="A429" s="152"/>
      <c r="B429" s="299" t="s">
        <v>144</v>
      </c>
      <c r="C429" s="300"/>
      <c r="D429" s="300"/>
      <c r="E429" s="300"/>
      <c r="F429" s="301"/>
      <c r="G429" s="277">
        <v>0</v>
      </c>
      <c r="H429" s="292"/>
      <c r="I429" s="142">
        <v>0</v>
      </c>
      <c r="J429" s="117">
        <v>0</v>
      </c>
      <c r="K429" s="117">
        <v>0</v>
      </c>
      <c r="L429" s="117">
        <v>1833</v>
      </c>
      <c r="M429" s="117">
        <v>0</v>
      </c>
      <c r="N429" s="117">
        <v>0</v>
      </c>
      <c r="O429" s="117">
        <v>0</v>
      </c>
      <c r="P429" s="117">
        <v>0</v>
      </c>
      <c r="Q429" s="117">
        <v>0</v>
      </c>
      <c r="R429" s="117">
        <v>1833</v>
      </c>
      <c r="S429" s="117">
        <v>0</v>
      </c>
      <c r="T429" s="117">
        <v>0</v>
      </c>
      <c r="U429" s="153">
        <f t="shared" ref="U429:U430" si="179">R429/L429</f>
        <v>1</v>
      </c>
      <c r="V429" s="196">
        <f>+I429</f>
        <v>0</v>
      </c>
      <c r="W429" s="196">
        <f t="shared" si="171"/>
        <v>0</v>
      </c>
      <c r="X429" s="196">
        <f>+L429</f>
        <v>1833</v>
      </c>
      <c r="Y429" s="196">
        <f t="shared" si="172"/>
        <v>0</v>
      </c>
      <c r="Z429" s="196">
        <f>+O429</f>
        <v>0</v>
      </c>
      <c r="AA429" s="196">
        <f t="shared" si="174"/>
        <v>0</v>
      </c>
      <c r="AB429" s="196">
        <f>+R429</f>
        <v>1833</v>
      </c>
      <c r="AC429" s="196">
        <f t="shared" si="176"/>
        <v>0</v>
      </c>
      <c r="AD429" s="197">
        <v>1</v>
      </c>
      <c r="AE429" s="198">
        <f t="shared" si="178"/>
        <v>0</v>
      </c>
    </row>
    <row r="430" spans="1:31" s="40" customFormat="1">
      <c r="A430" s="152"/>
      <c r="B430" s="299" t="s">
        <v>143</v>
      </c>
      <c r="C430" s="300"/>
      <c r="D430" s="300"/>
      <c r="E430" s="300"/>
      <c r="F430" s="301"/>
      <c r="G430" s="277">
        <v>0</v>
      </c>
      <c r="H430" s="292"/>
      <c r="I430" s="142">
        <v>0</v>
      </c>
      <c r="J430" s="117">
        <v>0</v>
      </c>
      <c r="K430" s="117">
        <v>0</v>
      </c>
      <c r="L430" s="117">
        <v>34720</v>
      </c>
      <c r="M430" s="117">
        <v>0</v>
      </c>
      <c r="N430" s="117">
        <v>0</v>
      </c>
      <c r="O430" s="117">
        <v>0</v>
      </c>
      <c r="P430" s="117">
        <v>0</v>
      </c>
      <c r="Q430" s="117">
        <v>0</v>
      </c>
      <c r="R430" s="117">
        <v>34720</v>
      </c>
      <c r="S430" s="117">
        <v>0</v>
      </c>
      <c r="T430" s="117">
        <v>0</v>
      </c>
      <c r="U430" s="153">
        <f t="shared" si="179"/>
        <v>1</v>
      </c>
      <c r="V430" s="196">
        <f>+I430</f>
        <v>0</v>
      </c>
      <c r="W430" s="196">
        <f t="shared" si="171"/>
        <v>0</v>
      </c>
      <c r="X430" s="196">
        <f>+L430</f>
        <v>34720</v>
      </c>
      <c r="Y430" s="196">
        <f t="shared" si="172"/>
        <v>0</v>
      </c>
      <c r="Z430" s="196">
        <f>+O430</f>
        <v>0</v>
      </c>
      <c r="AA430" s="196">
        <f t="shared" si="174"/>
        <v>0</v>
      </c>
      <c r="AB430" s="196">
        <f>+R430</f>
        <v>34720</v>
      </c>
      <c r="AC430" s="196">
        <f t="shared" si="176"/>
        <v>0</v>
      </c>
      <c r="AD430" s="197">
        <v>1</v>
      </c>
      <c r="AE430" s="198">
        <f t="shared" si="178"/>
        <v>0</v>
      </c>
    </row>
    <row r="431" spans="1:31" s="40" customFormat="1">
      <c r="A431" s="152"/>
      <c r="B431" s="274" t="s">
        <v>91</v>
      </c>
      <c r="C431" s="275"/>
      <c r="D431" s="275"/>
      <c r="E431" s="275"/>
      <c r="F431" s="276"/>
      <c r="G431" s="277">
        <v>6000</v>
      </c>
      <c r="H431" s="292"/>
      <c r="I431" s="142">
        <v>0</v>
      </c>
      <c r="J431" s="117">
        <v>0</v>
      </c>
      <c r="K431" s="117">
        <v>0</v>
      </c>
      <c r="L431" s="117">
        <v>5300</v>
      </c>
      <c r="M431" s="117">
        <v>0</v>
      </c>
      <c r="N431" s="117">
        <v>0</v>
      </c>
      <c r="O431" s="117">
        <v>6000</v>
      </c>
      <c r="P431" s="117">
        <v>0</v>
      </c>
      <c r="Q431" s="117">
        <v>0</v>
      </c>
      <c r="R431" s="117">
        <f>0+0+0+0+0+0+0+0+0+5300</f>
        <v>5300</v>
      </c>
      <c r="S431" s="117">
        <v>0</v>
      </c>
      <c r="T431" s="117">
        <v>0</v>
      </c>
      <c r="U431" s="153">
        <f t="shared" si="130"/>
        <v>0.8833333333333333</v>
      </c>
      <c r="V431" s="196">
        <f>+'Mensual VEME2019'!I1402+'Mensual VEME2019'!I1275+'Mensual VEME2019'!I1149</f>
        <v>0</v>
      </c>
      <c r="W431" s="196">
        <f t="shared" si="171"/>
        <v>0</v>
      </c>
      <c r="X431" s="196">
        <f>+'Mensual VEME2019'!L1402+'Mensual VEME2019'!L1275+'Mensual VEME2019'!L1149</f>
        <v>5300</v>
      </c>
      <c r="Y431" s="196">
        <f t="shared" si="172"/>
        <v>0</v>
      </c>
      <c r="Z431" s="196">
        <f>+V431+O303</f>
        <v>6000</v>
      </c>
      <c r="AA431" s="196">
        <f t="shared" si="174"/>
        <v>0</v>
      </c>
      <c r="AB431" s="196">
        <f>+X431+R303</f>
        <v>5300</v>
      </c>
      <c r="AC431" s="196">
        <f t="shared" si="176"/>
        <v>0</v>
      </c>
      <c r="AD431" s="197">
        <f t="shared" si="177"/>
        <v>0.8833333333333333</v>
      </c>
      <c r="AE431" s="198">
        <f t="shared" si="178"/>
        <v>0</v>
      </c>
    </row>
    <row r="432" spans="1:31" s="40" customFormat="1" ht="15" customHeight="1">
      <c r="A432" s="152"/>
      <c r="B432" s="274" t="s">
        <v>81</v>
      </c>
      <c r="C432" s="275"/>
      <c r="D432" s="275"/>
      <c r="E432" s="275"/>
      <c r="F432" s="276"/>
      <c r="G432" s="277">
        <v>195000</v>
      </c>
      <c r="H432" s="292"/>
      <c r="I432" s="142">
        <v>39000</v>
      </c>
      <c r="J432" s="117">
        <v>0</v>
      </c>
      <c r="K432" s="117">
        <v>0</v>
      </c>
      <c r="L432" s="117">
        <v>42926.48</v>
      </c>
      <c r="M432" s="117">
        <v>0</v>
      </c>
      <c r="N432" s="117">
        <v>0</v>
      </c>
      <c r="O432" s="117">
        <f>26000+26000+26000+13000+13000+13000+13000+13000+13000+13000+13000+13000</f>
        <v>195000</v>
      </c>
      <c r="P432" s="117">
        <v>0</v>
      </c>
      <c r="Q432" s="117">
        <v>0</v>
      </c>
      <c r="R432" s="117">
        <f>23416.71+27887.03+23419.61+15279.25+11463.61+13780.18+9596.71+15708.75+11521.67+13803.49+11440.3+17682.69</f>
        <v>195000</v>
      </c>
      <c r="S432" s="117">
        <v>0</v>
      </c>
      <c r="T432" s="117">
        <v>0</v>
      </c>
      <c r="U432" s="153">
        <f t="shared" si="130"/>
        <v>1</v>
      </c>
      <c r="V432" s="196">
        <f>+'Mensual VEME2019'!I1403+'Mensual VEME2019'!I1276+'Mensual VEME2019'!I1150</f>
        <v>39000</v>
      </c>
      <c r="W432" s="196">
        <f t="shared" ref="W432:W438" si="180">+I432-V432</f>
        <v>0</v>
      </c>
      <c r="X432" s="196">
        <f>+'Mensual VEME2019'!L1403+'Mensual VEME2019'!L1276+'Mensual VEME2019'!L1150</f>
        <v>42926.479999999996</v>
      </c>
      <c r="Y432" s="196">
        <f t="shared" ref="Y432:Y438" si="181">+L432-X432</f>
        <v>0</v>
      </c>
      <c r="Z432" s="196">
        <f t="shared" ref="Z432:Z438" si="182">+V432+O304</f>
        <v>195000</v>
      </c>
      <c r="AA432" s="196">
        <f t="shared" ref="AA432:AA438" si="183">+O432-Z432</f>
        <v>0</v>
      </c>
      <c r="AB432" s="196">
        <f t="shared" ref="AB432:AB438" si="184">+X432+R304</f>
        <v>195000</v>
      </c>
      <c r="AC432" s="196">
        <f t="shared" ref="AC432:AC438" si="185">+R432-AB432</f>
        <v>0</v>
      </c>
      <c r="AD432" s="197">
        <f t="shared" ref="AD432:AD438" si="186">+AB432/G432</f>
        <v>1</v>
      </c>
      <c r="AE432" s="198">
        <f t="shared" ref="AE432:AE438" si="187">+U432-AD432</f>
        <v>0</v>
      </c>
    </row>
    <row r="433" spans="1:31" s="40" customFormat="1" ht="15" customHeight="1">
      <c r="A433" s="152"/>
      <c r="B433" s="274" t="s">
        <v>132</v>
      </c>
      <c r="C433" s="275"/>
      <c r="D433" s="275"/>
      <c r="E433" s="275"/>
      <c r="F433" s="276"/>
      <c r="G433" s="277">
        <v>1900</v>
      </c>
      <c r="H433" s="292"/>
      <c r="I433" s="142">
        <v>0</v>
      </c>
      <c r="J433" s="117">
        <v>0</v>
      </c>
      <c r="K433" s="117">
        <v>0</v>
      </c>
      <c r="L433" s="117">
        <v>0</v>
      </c>
      <c r="M433" s="117">
        <v>0</v>
      </c>
      <c r="N433" s="117">
        <v>0</v>
      </c>
      <c r="O433" s="117">
        <v>1900</v>
      </c>
      <c r="P433" s="117">
        <v>0</v>
      </c>
      <c r="Q433" s="117">
        <v>0</v>
      </c>
      <c r="R433" s="117">
        <f>0+1893.11</f>
        <v>1893.11</v>
      </c>
      <c r="S433" s="117">
        <v>0</v>
      </c>
      <c r="T433" s="117">
        <v>0</v>
      </c>
      <c r="U433" s="153">
        <f>R433/G433</f>
        <v>0.9963736842105263</v>
      </c>
      <c r="V433" s="196">
        <f>+'Mensual VEME2019'!I1404+'Mensual VEME2019'!I1277+'Mensual VEME2019'!I1151</f>
        <v>0</v>
      </c>
      <c r="W433" s="196">
        <f t="shared" si="180"/>
        <v>0</v>
      </c>
      <c r="X433" s="196">
        <f>+'Mensual VEME2019'!L1404+'Mensual VEME2019'!L1277+'Mensual VEME2019'!L1151</f>
        <v>0</v>
      </c>
      <c r="Y433" s="196">
        <f t="shared" si="181"/>
        <v>0</v>
      </c>
      <c r="Z433" s="196">
        <f t="shared" si="182"/>
        <v>1900</v>
      </c>
      <c r="AA433" s="196">
        <f t="shared" si="183"/>
        <v>0</v>
      </c>
      <c r="AB433" s="196">
        <f t="shared" si="184"/>
        <v>1893.11</v>
      </c>
      <c r="AC433" s="196">
        <f t="shared" si="185"/>
        <v>0</v>
      </c>
      <c r="AD433" s="197">
        <f t="shared" si="186"/>
        <v>0.9963736842105263</v>
      </c>
      <c r="AE433" s="198">
        <f t="shared" si="187"/>
        <v>0</v>
      </c>
    </row>
    <row r="434" spans="1:31" s="40" customFormat="1" ht="15" customHeight="1">
      <c r="A434" s="152"/>
      <c r="B434" s="274" t="s">
        <v>133</v>
      </c>
      <c r="C434" s="275"/>
      <c r="D434" s="275"/>
      <c r="E434" s="275"/>
      <c r="F434" s="276"/>
      <c r="G434" s="277">
        <v>20000</v>
      </c>
      <c r="H434" s="292"/>
      <c r="I434" s="142">
        <v>0</v>
      </c>
      <c r="J434" s="116">
        <v>0</v>
      </c>
      <c r="K434" s="116">
        <v>0</v>
      </c>
      <c r="L434" s="116">
        <v>0</v>
      </c>
      <c r="M434" s="116">
        <v>0</v>
      </c>
      <c r="N434" s="116">
        <v>0</v>
      </c>
      <c r="O434" s="116">
        <v>20000</v>
      </c>
      <c r="P434" s="116">
        <v>0</v>
      </c>
      <c r="Q434" s="116">
        <v>0</v>
      </c>
      <c r="R434" s="116">
        <v>17456</v>
      </c>
      <c r="S434" s="116">
        <v>0</v>
      </c>
      <c r="T434" s="116">
        <v>0</v>
      </c>
      <c r="U434" s="192">
        <f>R434/G434</f>
        <v>0.87280000000000002</v>
      </c>
      <c r="V434" s="196">
        <f>+'Mensual VEME2019'!I1405+'Mensual VEME2019'!I1278+'Mensual VEME2019'!I1152</f>
        <v>0</v>
      </c>
      <c r="W434" s="196">
        <f t="shared" si="180"/>
        <v>0</v>
      </c>
      <c r="X434" s="196">
        <f>+'Mensual VEME2019'!L1405+'Mensual VEME2019'!L1278+'Mensual VEME2019'!L1152</f>
        <v>0</v>
      </c>
      <c r="Y434" s="196">
        <f t="shared" si="181"/>
        <v>0</v>
      </c>
      <c r="Z434" s="196">
        <f t="shared" si="182"/>
        <v>20000</v>
      </c>
      <c r="AA434" s="196">
        <f t="shared" si="183"/>
        <v>0</v>
      </c>
      <c r="AB434" s="196">
        <f t="shared" si="184"/>
        <v>17456</v>
      </c>
      <c r="AC434" s="196">
        <f t="shared" si="185"/>
        <v>0</v>
      </c>
      <c r="AD434" s="197">
        <f t="shared" si="186"/>
        <v>0.87280000000000002</v>
      </c>
      <c r="AE434" s="198">
        <f t="shared" si="187"/>
        <v>0</v>
      </c>
    </row>
    <row r="435" spans="1:31" s="40" customFormat="1" ht="15" customHeight="1">
      <c r="A435" s="152"/>
      <c r="B435" s="274" t="s">
        <v>134</v>
      </c>
      <c r="C435" s="275"/>
      <c r="D435" s="275"/>
      <c r="E435" s="275"/>
      <c r="F435" s="276"/>
      <c r="G435" s="277">
        <v>7200</v>
      </c>
      <c r="H435" s="292"/>
      <c r="I435" s="142">
        <v>0</v>
      </c>
      <c r="J435" s="116">
        <v>0</v>
      </c>
      <c r="K435" s="116">
        <v>0</v>
      </c>
      <c r="L435" s="116">
        <v>0</v>
      </c>
      <c r="M435" s="116">
        <v>0</v>
      </c>
      <c r="N435" s="116">
        <v>0</v>
      </c>
      <c r="O435" s="116">
        <f>7200</f>
        <v>7200</v>
      </c>
      <c r="P435" s="116">
        <v>0</v>
      </c>
      <c r="Q435" s="116">
        <v>0</v>
      </c>
      <c r="R435" s="116">
        <f>7200</f>
        <v>7200</v>
      </c>
      <c r="S435" s="116">
        <v>0</v>
      </c>
      <c r="T435" s="116">
        <v>0</v>
      </c>
      <c r="U435" s="192">
        <f>R435/G435</f>
        <v>1</v>
      </c>
      <c r="V435" s="196">
        <f>+'Mensual VEME2019'!I1406+'Mensual VEME2019'!I1279+'Mensual VEME2019'!I1153</f>
        <v>0</v>
      </c>
      <c r="W435" s="196">
        <f t="shared" si="180"/>
        <v>0</v>
      </c>
      <c r="X435" s="196">
        <f>+'Mensual VEME2019'!L1406+'Mensual VEME2019'!L1279+'Mensual VEME2019'!L1153</f>
        <v>0</v>
      </c>
      <c r="Y435" s="196">
        <f t="shared" si="181"/>
        <v>0</v>
      </c>
      <c r="Z435" s="196">
        <f t="shared" si="182"/>
        <v>7200</v>
      </c>
      <c r="AA435" s="196">
        <f t="shared" si="183"/>
        <v>0</v>
      </c>
      <c r="AB435" s="196">
        <f t="shared" si="184"/>
        <v>7200</v>
      </c>
      <c r="AC435" s="196">
        <f t="shared" si="185"/>
        <v>0</v>
      </c>
      <c r="AD435" s="197">
        <f t="shared" si="186"/>
        <v>1</v>
      </c>
      <c r="AE435" s="198">
        <f t="shared" si="187"/>
        <v>0</v>
      </c>
    </row>
    <row r="436" spans="1:31" s="40" customFormat="1" ht="15" customHeight="1">
      <c r="A436" s="152"/>
      <c r="B436" s="274" t="s">
        <v>79</v>
      </c>
      <c r="C436" s="275"/>
      <c r="D436" s="275"/>
      <c r="E436" s="275"/>
      <c r="F436" s="276"/>
      <c r="G436" s="277">
        <v>37500</v>
      </c>
      <c r="H436" s="292"/>
      <c r="I436" s="142">
        <v>0</v>
      </c>
      <c r="J436" s="116">
        <v>0</v>
      </c>
      <c r="K436" s="116">
        <v>0</v>
      </c>
      <c r="L436" s="116">
        <v>0</v>
      </c>
      <c r="M436" s="116">
        <v>0</v>
      </c>
      <c r="N436" s="116">
        <v>0</v>
      </c>
      <c r="O436" s="116">
        <v>37500</v>
      </c>
      <c r="P436" s="116">
        <v>0</v>
      </c>
      <c r="Q436" s="116">
        <v>0</v>
      </c>
      <c r="R436" s="116">
        <f>0+0+0+0+0+0+0+37500</f>
        <v>37500</v>
      </c>
      <c r="S436" s="116">
        <v>0</v>
      </c>
      <c r="T436" s="116">
        <v>0</v>
      </c>
      <c r="U436" s="192">
        <f t="shared" ref="U436:U437" si="188">R436/G436</f>
        <v>1</v>
      </c>
      <c r="V436" s="196">
        <f>+'Mensual VEME2019'!I1407+'Mensual VEME2019'!I1280+'Mensual VEME2019'!I1154</f>
        <v>0</v>
      </c>
      <c r="W436" s="196">
        <f t="shared" si="180"/>
        <v>0</v>
      </c>
      <c r="X436" s="196">
        <f>+'Mensual VEME2019'!L1407+'Mensual VEME2019'!L1280+'Mensual VEME2019'!L1154</f>
        <v>0</v>
      </c>
      <c r="Y436" s="196">
        <f t="shared" si="181"/>
        <v>0</v>
      </c>
      <c r="Z436" s="196">
        <f t="shared" si="182"/>
        <v>37500</v>
      </c>
      <c r="AA436" s="196">
        <f t="shared" si="183"/>
        <v>0</v>
      </c>
      <c r="AB436" s="196">
        <f t="shared" si="184"/>
        <v>37500</v>
      </c>
      <c r="AC436" s="196">
        <f t="shared" si="185"/>
        <v>0</v>
      </c>
      <c r="AD436" s="197">
        <f t="shared" si="186"/>
        <v>1</v>
      </c>
      <c r="AE436" s="198">
        <f t="shared" si="187"/>
        <v>0</v>
      </c>
    </row>
    <row r="437" spans="1:31" s="40" customFormat="1" ht="15" customHeight="1">
      <c r="A437" s="152"/>
      <c r="B437" s="274" t="s">
        <v>92</v>
      </c>
      <c r="C437" s="275"/>
      <c r="D437" s="275"/>
      <c r="E437" s="275"/>
      <c r="F437" s="276"/>
      <c r="G437" s="277">
        <v>39600</v>
      </c>
      <c r="H437" s="292"/>
      <c r="I437" s="142">
        <v>0</v>
      </c>
      <c r="J437" s="116">
        <v>0</v>
      </c>
      <c r="K437" s="116">
        <v>0</v>
      </c>
      <c r="L437" s="116">
        <v>14500</v>
      </c>
      <c r="M437" s="116">
        <v>0</v>
      </c>
      <c r="N437" s="116">
        <v>0</v>
      </c>
      <c r="O437" s="116">
        <v>39600</v>
      </c>
      <c r="P437" s="116">
        <v>0</v>
      </c>
      <c r="Q437" s="116">
        <v>0</v>
      </c>
      <c r="R437" s="116">
        <v>14500</v>
      </c>
      <c r="S437" s="116">
        <v>0</v>
      </c>
      <c r="T437" s="116">
        <v>0</v>
      </c>
      <c r="U437" s="192">
        <f t="shared" si="188"/>
        <v>0.36616161616161619</v>
      </c>
      <c r="V437" s="196">
        <f>+'Mensual VEME2019'!I1408+'Mensual VEME2019'!I1281+'Mensual VEME2019'!I1155</f>
        <v>0</v>
      </c>
      <c r="W437" s="196">
        <f t="shared" si="180"/>
        <v>0</v>
      </c>
      <c r="X437" s="196">
        <f>+'Mensual VEME2019'!L1408+'Mensual VEME2019'!L1281+'Mensual VEME2019'!L1155</f>
        <v>14500</v>
      </c>
      <c r="Y437" s="196">
        <f t="shared" si="181"/>
        <v>0</v>
      </c>
      <c r="Z437" s="196">
        <f t="shared" si="182"/>
        <v>39600</v>
      </c>
      <c r="AA437" s="196">
        <f t="shared" si="183"/>
        <v>0</v>
      </c>
      <c r="AB437" s="196">
        <f t="shared" si="184"/>
        <v>14500</v>
      </c>
      <c r="AC437" s="196">
        <f t="shared" si="185"/>
        <v>0</v>
      </c>
      <c r="AD437" s="197">
        <f t="shared" si="186"/>
        <v>0.36616161616161619</v>
      </c>
      <c r="AE437" s="198">
        <f t="shared" si="187"/>
        <v>0</v>
      </c>
    </row>
    <row r="438" spans="1:31" s="40" customFormat="1">
      <c r="A438" s="152"/>
      <c r="B438" s="274" t="s">
        <v>65</v>
      </c>
      <c r="C438" s="275"/>
      <c r="D438" s="275"/>
      <c r="E438" s="275"/>
      <c r="F438" s="276"/>
      <c r="G438" s="277">
        <v>23750</v>
      </c>
      <c r="H438" s="292"/>
      <c r="I438" s="142">
        <v>2500</v>
      </c>
      <c r="J438" s="116">
        <v>0</v>
      </c>
      <c r="K438" s="116">
        <v>0</v>
      </c>
      <c r="L438" s="116">
        <v>3535</v>
      </c>
      <c r="M438" s="116">
        <v>0</v>
      </c>
      <c r="N438" s="116">
        <v>0</v>
      </c>
      <c r="O438" s="116">
        <f>3750+2500+15000+2500</f>
        <v>23750</v>
      </c>
      <c r="P438" s="116">
        <v>0</v>
      </c>
      <c r="Q438" s="116">
        <v>0</v>
      </c>
      <c r="R438" s="116">
        <f>2126.81+1754.81+410+3125</f>
        <v>7416.62</v>
      </c>
      <c r="S438" s="116">
        <v>0</v>
      </c>
      <c r="T438" s="116">
        <v>0</v>
      </c>
      <c r="U438" s="192">
        <f>R438/G438</f>
        <v>0.31227873684210528</v>
      </c>
      <c r="V438" s="196">
        <f>+'Mensual VEME2019'!I1409+'Mensual VEME2019'!I1282+'Mensual VEME2019'!I1156</f>
        <v>2500</v>
      </c>
      <c r="W438" s="196">
        <f t="shared" si="180"/>
        <v>0</v>
      </c>
      <c r="X438" s="196">
        <f>+'Mensual VEME2019'!L1409+'Mensual VEME2019'!L1282+'Mensual VEME2019'!L1156</f>
        <v>3535</v>
      </c>
      <c r="Y438" s="196">
        <f t="shared" si="181"/>
        <v>0</v>
      </c>
      <c r="Z438" s="196">
        <f t="shared" si="182"/>
        <v>23750</v>
      </c>
      <c r="AA438" s="196">
        <f t="shared" si="183"/>
        <v>0</v>
      </c>
      <c r="AB438" s="196">
        <f t="shared" si="184"/>
        <v>7416.62</v>
      </c>
      <c r="AC438" s="196">
        <f t="shared" si="185"/>
        <v>0</v>
      </c>
      <c r="AD438" s="197">
        <f t="shared" si="186"/>
        <v>0.31227873684210528</v>
      </c>
      <c r="AE438" s="198">
        <f t="shared" si="187"/>
        <v>0</v>
      </c>
    </row>
    <row r="439" spans="1:31" s="40" customFormat="1" ht="15.75" thickBot="1">
      <c r="A439" s="152"/>
      <c r="B439" s="293"/>
      <c r="C439" s="294"/>
      <c r="D439" s="294"/>
      <c r="E439" s="294"/>
      <c r="F439" s="295"/>
      <c r="G439" s="282"/>
      <c r="H439" s="296"/>
      <c r="I439" s="142"/>
      <c r="J439" s="116"/>
      <c r="K439" s="116"/>
      <c r="L439" s="116"/>
      <c r="M439" s="116"/>
      <c r="N439" s="116"/>
      <c r="O439" s="116"/>
      <c r="P439" s="116"/>
      <c r="Q439" s="116"/>
      <c r="R439" s="116"/>
      <c r="S439" s="116"/>
      <c r="T439" s="116"/>
      <c r="U439" s="176"/>
    </row>
    <row r="440" spans="1:31" ht="15.75" thickBot="1">
      <c r="A440" s="23"/>
      <c r="B440" s="257" t="s">
        <v>21</v>
      </c>
      <c r="C440" s="258"/>
      <c r="D440" s="258"/>
      <c r="E440" s="258"/>
      <c r="F440" s="259"/>
      <c r="G440" s="260">
        <f>SUM(G411:H439)</f>
        <v>675408</v>
      </c>
      <c r="H440" s="261"/>
      <c r="I440" s="29">
        <f>SUM(I411:I439)</f>
        <v>124250</v>
      </c>
      <c r="J440" s="29"/>
      <c r="K440" s="29"/>
      <c r="L440" s="29">
        <f>SUM(L411:L439)</f>
        <v>268076.53000000003</v>
      </c>
      <c r="M440" s="29"/>
      <c r="N440" s="29"/>
      <c r="O440" s="29">
        <f>SUM(O411:O439)</f>
        <v>675408</v>
      </c>
      <c r="P440" s="29"/>
      <c r="Q440" s="29"/>
      <c r="R440" s="29">
        <f>SUM(R411:R439)</f>
        <v>676206.62999999989</v>
      </c>
      <c r="S440" s="29"/>
      <c r="T440" s="30"/>
      <c r="U440" s="78">
        <f>R440/G440</f>
        <v>1.0011824408357612</v>
      </c>
      <c r="V440" s="196">
        <f>+'Mensual VEME2019'!I1411+'Mensual VEME2019'!I1284+'Mensual VEME2019'!I1158</f>
        <v>124250</v>
      </c>
      <c r="W440" s="196">
        <f t="shared" ref="W440" si="189">+I440-V440</f>
        <v>0</v>
      </c>
      <c r="X440" s="196">
        <f>+'Mensual VEME2019'!L1411+'Mensual VEME2019'!L1284+'Mensual VEME2019'!L1158</f>
        <v>268076.52999999997</v>
      </c>
      <c r="Y440" s="196">
        <f t="shared" ref="Y440" si="190">+L440-X440</f>
        <v>0</v>
      </c>
      <c r="Z440" s="196">
        <f>+V440+O312</f>
        <v>675408</v>
      </c>
      <c r="AA440" s="196">
        <f t="shared" ref="AA440" si="191">+O440-Z440</f>
        <v>0</v>
      </c>
      <c r="AB440" s="196">
        <f>+X440+R312</f>
        <v>676206.62999999989</v>
      </c>
      <c r="AC440" s="196">
        <f t="shared" ref="AC440" si="192">+R440-AB440</f>
        <v>0</v>
      </c>
      <c r="AD440" s="197">
        <f t="shared" ref="AD440" si="193">+AB440/G440</f>
        <v>1.0011824408357612</v>
      </c>
      <c r="AE440" s="198">
        <f t="shared" ref="AE440" si="194">+U440-AD440</f>
        <v>0</v>
      </c>
    </row>
    <row r="441" spans="1:31" ht="15.75" thickBot="1">
      <c r="A441" s="23"/>
      <c r="B441" s="297"/>
      <c r="C441" s="297"/>
      <c r="D441" s="297"/>
      <c r="E441" s="297"/>
      <c r="F441" s="297"/>
      <c r="G441" s="298"/>
      <c r="H441" s="298"/>
      <c r="I441" s="180"/>
      <c r="J441" s="180"/>
      <c r="K441" s="180"/>
      <c r="L441" s="180"/>
      <c r="M441" s="180"/>
      <c r="N441" s="180"/>
      <c r="O441" s="180"/>
      <c r="P441" s="180"/>
      <c r="Q441" s="180"/>
      <c r="R441" s="180"/>
      <c r="S441" s="180"/>
      <c r="T441" s="180"/>
      <c r="U441" s="72"/>
    </row>
    <row r="442" spans="1:31" ht="15.75" thickBot="1">
      <c r="A442" s="23"/>
      <c r="B442" s="284" t="s">
        <v>30</v>
      </c>
      <c r="C442" s="285"/>
      <c r="D442" s="285"/>
      <c r="E442" s="285"/>
      <c r="F442" s="285"/>
      <c r="G442" s="285"/>
      <c r="H442" s="285"/>
      <c r="I442" s="285"/>
      <c r="J442" s="285"/>
      <c r="K442" s="285"/>
      <c r="L442" s="285"/>
      <c r="M442" s="285"/>
      <c r="N442" s="285"/>
      <c r="O442" s="285"/>
      <c r="P442" s="285"/>
      <c r="Q442" s="285"/>
      <c r="R442" s="285"/>
      <c r="S442" s="285"/>
      <c r="T442" s="285"/>
      <c r="U442" s="286"/>
    </row>
    <row r="443" spans="1:31" s="40" customFormat="1" ht="15" customHeight="1">
      <c r="A443" s="152"/>
      <c r="B443" s="287" t="s">
        <v>80</v>
      </c>
      <c r="C443" s="288"/>
      <c r="D443" s="288"/>
      <c r="E443" s="288"/>
      <c r="F443" s="289"/>
      <c r="G443" s="290">
        <v>11500</v>
      </c>
      <c r="H443" s="291"/>
      <c r="I443" s="161">
        <v>0</v>
      </c>
      <c r="J443" s="161">
        <v>0</v>
      </c>
      <c r="K443" s="161">
        <v>0</v>
      </c>
      <c r="L443" s="161">
        <v>1811.43</v>
      </c>
      <c r="M443" s="161">
        <v>0</v>
      </c>
      <c r="N443" s="161">
        <v>0</v>
      </c>
      <c r="O443" s="161">
        <f>11500+0</f>
        <v>11500</v>
      </c>
      <c r="P443" s="161">
        <v>0</v>
      </c>
      <c r="Q443" s="161">
        <v>0</v>
      </c>
      <c r="R443" s="161">
        <f>3804.87+5883.7+1811.43</f>
        <v>11500</v>
      </c>
      <c r="S443" s="161">
        <v>0</v>
      </c>
      <c r="T443" s="141">
        <v>0</v>
      </c>
      <c r="U443" s="162">
        <f t="shared" ref="U443:U450" si="195">R443/G443</f>
        <v>1</v>
      </c>
      <c r="V443" s="196">
        <f>+'Mensual VEME2019'!I1414+'Mensual VEME2019'!I1287+'Mensual VEME2019'!I1161</f>
        <v>0</v>
      </c>
      <c r="W443" s="196">
        <f t="shared" ref="W443:W450" si="196">+I443-V443</f>
        <v>0</v>
      </c>
      <c r="X443" s="196">
        <f>+'Mensual VEME2019'!L1414+'Mensual VEME2019'!L1287+'Mensual VEME2019'!L1161</f>
        <v>1811.43</v>
      </c>
      <c r="Y443" s="196">
        <f t="shared" ref="Y443:Y450" si="197">+L443-X443</f>
        <v>0</v>
      </c>
      <c r="Z443" s="196">
        <f t="shared" ref="Z443:Z450" si="198">+V443+O315</f>
        <v>11500</v>
      </c>
      <c r="AA443" s="196">
        <f t="shared" ref="AA443:AA450" si="199">+O443-Z443</f>
        <v>0</v>
      </c>
      <c r="AB443" s="196">
        <f t="shared" ref="AB443:AB450" si="200">+X443+R315</f>
        <v>11500</v>
      </c>
      <c r="AC443" s="196">
        <f t="shared" ref="AC443:AC450" si="201">+R443-AB443</f>
        <v>0</v>
      </c>
      <c r="AD443" s="197">
        <f t="shared" ref="AD443:AD450" si="202">+AB443/G443</f>
        <v>1</v>
      </c>
      <c r="AE443" s="198">
        <f t="shared" ref="AE443:AE450" si="203">+U443-AD443</f>
        <v>0</v>
      </c>
    </row>
    <row r="444" spans="1:31" s="40" customFormat="1" ht="15" customHeight="1">
      <c r="A444" s="152"/>
      <c r="B444" s="274" t="s">
        <v>124</v>
      </c>
      <c r="C444" s="275"/>
      <c r="D444" s="275"/>
      <c r="E444" s="275"/>
      <c r="F444" s="276"/>
      <c r="G444" s="277">
        <v>30000</v>
      </c>
      <c r="H444" s="278"/>
      <c r="I444" s="116">
        <v>30000</v>
      </c>
      <c r="J444" s="116">
        <v>0</v>
      </c>
      <c r="K444" s="116">
        <v>0</v>
      </c>
      <c r="L444" s="116">
        <v>30000</v>
      </c>
      <c r="M444" s="116">
        <v>0</v>
      </c>
      <c r="N444" s="116">
        <v>0</v>
      </c>
      <c r="O444" s="116">
        <v>30000</v>
      </c>
      <c r="P444" s="116">
        <v>0</v>
      </c>
      <c r="Q444" s="116">
        <v>0</v>
      </c>
      <c r="R444" s="116">
        <v>30000</v>
      </c>
      <c r="S444" s="116">
        <v>0</v>
      </c>
      <c r="T444" s="117">
        <v>0</v>
      </c>
      <c r="U444" s="153">
        <f t="shared" si="195"/>
        <v>1</v>
      </c>
      <c r="V444" s="196">
        <f>+'Mensual VEME2019'!I1415+'Mensual VEME2019'!I1288+'Mensual VEME2019'!I1162</f>
        <v>30000</v>
      </c>
      <c r="W444" s="196">
        <f t="shared" si="196"/>
        <v>0</v>
      </c>
      <c r="X444" s="196">
        <f>+'Mensual VEME2019'!L1415+'Mensual VEME2019'!L1288+'Mensual VEME2019'!L1162</f>
        <v>30000</v>
      </c>
      <c r="Y444" s="196">
        <f t="shared" si="197"/>
        <v>0</v>
      </c>
      <c r="Z444" s="196">
        <f t="shared" si="198"/>
        <v>30000</v>
      </c>
      <c r="AA444" s="196">
        <f t="shared" si="199"/>
        <v>0</v>
      </c>
      <c r="AB444" s="196">
        <f t="shared" si="200"/>
        <v>30000</v>
      </c>
      <c r="AC444" s="196">
        <f t="shared" si="201"/>
        <v>0</v>
      </c>
      <c r="AD444" s="197">
        <f t="shared" si="202"/>
        <v>1</v>
      </c>
      <c r="AE444" s="198">
        <f t="shared" si="203"/>
        <v>0</v>
      </c>
    </row>
    <row r="445" spans="1:31" s="40" customFormat="1" ht="15" customHeight="1">
      <c r="A445" s="152"/>
      <c r="B445" s="274" t="s">
        <v>68</v>
      </c>
      <c r="C445" s="275"/>
      <c r="D445" s="275"/>
      <c r="E445" s="275"/>
      <c r="F445" s="276"/>
      <c r="G445" s="277">
        <v>12328</v>
      </c>
      <c r="H445" s="278"/>
      <c r="I445" s="116">
        <v>0</v>
      </c>
      <c r="J445" s="116">
        <v>0</v>
      </c>
      <c r="K445" s="116">
        <v>0</v>
      </c>
      <c r="L445" s="116">
        <v>0</v>
      </c>
      <c r="M445" s="116">
        <v>0</v>
      </c>
      <c r="N445" s="116">
        <v>0</v>
      </c>
      <c r="O445" s="116">
        <v>12328</v>
      </c>
      <c r="P445" s="116">
        <v>0</v>
      </c>
      <c r="Q445" s="116">
        <v>0</v>
      </c>
      <c r="R445" s="116">
        <v>12328</v>
      </c>
      <c r="S445" s="116">
        <v>0</v>
      </c>
      <c r="T445" s="117">
        <v>0</v>
      </c>
      <c r="U445" s="153">
        <f t="shared" si="195"/>
        <v>1</v>
      </c>
      <c r="V445" s="196">
        <f>+'Mensual VEME2019'!I1416+'Mensual VEME2019'!I1289+'Mensual VEME2019'!I1163</f>
        <v>0</v>
      </c>
      <c r="W445" s="196">
        <f t="shared" si="196"/>
        <v>0</v>
      </c>
      <c r="X445" s="196">
        <f>+'Mensual VEME2019'!L1416+'Mensual VEME2019'!L1289+'Mensual VEME2019'!L1163</f>
        <v>0</v>
      </c>
      <c r="Y445" s="196">
        <f t="shared" si="197"/>
        <v>0</v>
      </c>
      <c r="Z445" s="196">
        <f t="shared" si="198"/>
        <v>12328</v>
      </c>
      <c r="AA445" s="196">
        <f t="shared" si="199"/>
        <v>0</v>
      </c>
      <c r="AB445" s="196">
        <f t="shared" si="200"/>
        <v>12328</v>
      </c>
      <c r="AC445" s="196">
        <f t="shared" si="201"/>
        <v>0</v>
      </c>
      <c r="AD445" s="197">
        <f t="shared" si="202"/>
        <v>1</v>
      </c>
      <c r="AE445" s="198">
        <f t="shared" si="203"/>
        <v>0</v>
      </c>
    </row>
    <row r="446" spans="1:31" s="40" customFormat="1" ht="15" customHeight="1">
      <c r="A446" s="152"/>
      <c r="B446" s="274" t="s">
        <v>66</v>
      </c>
      <c r="C446" s="275"/>
      <c r="D446" s="275"/>
      <c r="E446" s="275"/>
      <c r="F446" s="276"/>
      <c r="G446" s="277">
        <v>16000</v>
      </c>
      <c r="H446" s="278"/>
      <c r="I446" s="116">
        <v>0</v>
      </c>
      <c r="J446" s="116">
        <v>0</v>
      </c>
      <c r="K446" s="116">
        <v>0</v>
      </c>
      <c r="L446" s="116">
        <v>0</v>
      </c>
      <c r="M446" s="116">
        <v>0</v>
      </c>
      <c r="N446" s="116">
        <v>0</v>
      </c>
      <c r="O446" s="116">
        <v>16000</v>
      </c>
      <c r="P446" s="116">
        <v>0</v>
      </c>
      <c r="Q446" s="116">
        <v>0</v>
      </c>
      <c r="R446" s="116">
        <f>0+0+0+0+6710.67+9289.33</f>
        <v>16000</v>
      </c>
      <c r="S446" s="116">
        <v>0</v>
      </c>
      <c r="T446" s="117">
        <v>0</v>
      </c>
      <c r="U446" s="153">
        <f t="shared" si="195"/>
        <v>1</v>
      </c>
      <c r="V446" s="196">
        <f>+'Mensual VEME2019'!I1417+'Mensual VEME2019'!I1290+'Mensual VEME2019'!I1164</f>
        <v>0</v>
      </c>
      <c r="W446" s="196">
        <f t="shared" si="196"/>
        <v>0</v>
      </c>
      <c r="X446" s="196">
        <f>+'Mensual VEME2019'!L1417+'Mensual VEME2019'!L1290+'Mensual VEME2019'!L1164</f>
        <v>0</v>
      </c>
      <c r="Y446" s="196">
        <f t="shared" si="197"/>
        <v>0</v>
      </c>
      <c r="Z446" s="196">
        <f t="shared" si="198"/>
        <v>16000</v>
      </c>
      <c r="AA446" s="196">
        <f t="shared" si="199"/>
        <v>0</v>
      </c>
      <c r="AB446" s="196">
        <f t="shared" si="200"/>
        <v>16000</v>
      </c>
      <c r="AC446" s="196">
        <f t="shared" si="201"/>
        <v>0</v>
      </c>
      <c r="AD446" s="197">
        <f t="shared" si="202"/>
        <v>1</v>
      </c>
      <c r="AE446" s="198">
        <f t="shared" si="203"/>
        <v>0</v>
      </c>
    </row>
    <row r="447" spans="1:31" s="40" customFormat="1" ht="15" customHeight="1">
      <c r="A447" s="152"/>
      <c r="B447" s="274" t="s">
        <v>67</v>
      </c>
      <c r="C447" s="275"/>
      <c r="D447" s="275"/>
      <c r="E447" s="275"/>
      <c r="F447" s="276"/>
      <c r="G447" s="277">
        <v>15000</v>
      </c>
      <c r="H447" s="278"/>
      <c r="I447" s="116">
        <v>15000</v>
      </c>
      <c r="J447" s="116">
        <v>0</v>
      </c>
      <c r="K447" s="116">
        <v>0</v>
      </c>
      <c r="L447" s="116">
        <v>15000</v>
      </c>
      <c r="M447" s="116">
        <v>0</v>
      </c>
      <c r="N447" s="116">
        <v>0</v>
      </c>
      <c r="O447" s="116">
        <v>15000</v>
      </c>
      <c r="P447" s="116">
        <v>0</v>
      </c>
      <c r="Q447" s="116">
        <v>0</v>
      </c>
      <c r="R447" s="116">
        <v>15000</v>
      </c>
      <c r="S447" s="116">
        <v>0</v>
      </c>
      <c r="T447" s="117">
        <v>0</v>
      </c>
      <c r="U447" s="153">
        <f t="shared" si="195"/>
        <v>1</v>
      </c>
      <c r="V447" s="196">
        <f>+'Mensual VEME2019'!I1418+'Mensual VEME2019'!I1291+'Mensual VEME2019'!I1165</f>
        <v>15000</v>
      </c>
      <c r="W447" s="196">
        <f t="shared" si="196"/>
        <v>0</v>
      </c>
      <c r="X447" s="196">
        <f>+'Mensual VEME2019'!L1418+'Mensual VEME2019'!L1291+'Mensual VEME2019'!L1165</f>
        <v>15000</v>
      </c>
      <c r="Y447" s="196">
        <f t="shared" si="197"/>
        <v>0</v>
      </c>
      <c r="Z447" s="196">
        <f t="shared" si="198"/>
        <v>15000</v>
      </c>
      <c r="AA447" s="196">
        <f t="shared" si="199"/>
        <v>0</v>
      </c>
      <c r="AB447" s="196">
        <f t="shared" si="200"/>
        <v>15000</v>
      </c>
      <c r="AC447" s="196">
        <f t="shared" si="201"/>
        <v>0</v>
      </c>
      <c r="AD447" s="197">
        <f t="shared" si="202"/>
        <v>1</v>
      </c>
      <c r="AE447" s="198">
        <f t="shared" si="203"/>
        <v>0</v>
      </c>
    </row>
    <row r="448" spans="1:31" s="40" customFormat="1" ht="15" customHeight="1">
      <c r="A448" s="152"/>
      <c r="B448" s="274" t="s">
        <v>93</v>
      </c>
      <c r="C448" s="275"/>
      <c r="D448" s="275"/>
      <c r="E448" s="275"/>
      <c r="F448" s="276"/>
      <c r="G448" s="277">
        <v>12000</v>
      </c>
      <c r="H448" s="278"/>
      <c r="I448" s="116">
        <v>0</v>
      </c>
      <c r="J448" s="116">
        <v>0</v>
      </c>
      <c r="K448" s="116">
        <v>0</v>
      </c>
      <c r="L448" s="116">
        <v>0</v>
      </c>
      <c r="M448" s="116">
        <v>0</v>
      </c>
      <c r="N448" s="116">
        <v>0</v>
      </c>
      <c r="O448" s="116">
        <f>6000+6000</f>
        <v>12000</v>
      </c>
      <c r="P448" s="116">
        <v>0</v>
      </c>
      <c r="Q448" s="116">
        <v>0</v>
      </c>
      <c r="R448" s="116">
        <v>12000</v>
      </c>
      <c r="S448" s="116">
        <v>0</v>
      </c>
      <c r="T448" s="117">
        <v>0</v>
      </c>
      <c r="U448" s="153">
        <f t="shared" si="195"/>
        <v>1</v>
      </c>
      <c r="V448" s="196">
        <f>+'Mensual VEME2019'!I1419+'Mensual VEME2019'!I1292+'Mensual VEME2019'!I1166</f>
        <v>0</v>
      </c>
      <c r="W448" s="196">
        <f t="shared" si="196"/>
        <v>0</v>
      </c>
      <c r="X448" s="196">
        <f>+'Mensual VEME2019'!L1419+'Mensual VEME2019'!L1292+'Mensual VEME2019'!L1166</f>
        <v>0</v>
      </c>
      <c r="Y448" s="196">
        <f t="shared" si="197"/>
        <v>0</v>
      </c>
      <c r="Z448" s="196">
        <f t="shared" si="198"/>
        <v>12000</v>
      </c>
      <c r="AA448" s="196">
        <f t="shared" si="199"/>
        <v>0</v>
      </c>
      <c r="AB448" s="196">
        <f t="shared" si="200"/>
        <v>12000</v>
      </c>
      <c r="AC448" s="196">
        <f t="shared" si="201"/>
        <v>0</v>
      </c>
      <c r="AD448" s="197">
        <f t="shared" si="202"/>
        <v>1</v>
      </c>
      <c r="AE448" s="198">
        <f t="shared" si="203"/>
        <v>0</v>
      </c>
    </row>
    <row r="449" spans="1:31" s="40" customFormat="1" ht="15" customHeight="1">
      <c r="A449" s="152"/>
      <c r="B449" s="274" t="s">
        <v>69</v>
      </c>
      <c r="C449" s="275"/>
      <c r="D449" s="275"/>
      <c r="E449" s="275"/>
      <c r="F449" s="276"/>
      <c r="G449" s="277">
        <v>4400</v>
      </c>
      <c r="H449" s="278"/>
      <c r="I449" s="116">
        <v>0</v>
      </c>
      <c r="J449" s="116">
        <v>0</v>
      </c>
      <c r="K449" s="116">
        <v>0</v>
      </c>
      <c r="L449" s="116">
        <v>601.80999999999995</v>
      </c>
      <c r="M449" s="116">
        <v>0</v>
      </c>
      <c r="N449" s="116">
        <v>0</v>
      </c>
      <c r="O449" s="116">
        <v>4400</v>
      </c>
      <c r="P449" s="116">
        <v>0</v>
      </c>
      <c r="Q449" s="116">
        <v>0</v>
      </c>
      <c r="R449" s="116">
        <f>1952.17+1047.39+601.81</f>
        <v>3601.3700000000003</v>
      </c>
      <c r="S449" s="116">
        <v>0</v>
      </c>
      <c r="T449" s="117">
        <v>0</v>
      </c>
      <c r="U449" s="153">
        <f t="shared" si="195"/>
        <v>0.81849318181818187</v>
      </c>
      <c r="V449" s="196">
        <f>+'Mensual VEME2019'!I1420+'Mensual VEME2019'!I1293+'Mensual VEME2019'!I1167</f>
        <v>0</v>
      </c>
      <c r="W449" s="196">
        <f t="shared" si="196"/>
        <v>0</v>
      </c>
      <c r="X449" s="196">
        <f>+'Mensual VEME2019'!L1420+'Mensual VEME2019'!L1293+'Mensual VEME2019'!L1167</f>
        <v>601.80999999999995</v>
      </c>
      <c r="Y449" s="196">
        <f t="shared" si="197"/>
        <v>0</v>
      </c>
      <c r="Z449" s="196">
        <f t="shared" si="198"/>
        <v>4400</v>
      </c>
      <c r="AA449" s="196">
        <f t="shared" si="199"/>
        <v>0</v>
      </c>
      <c r="AB449" s="196">
        <f t="shared" si="200"/>
        <v>3601.3700000000003</v>
      </c>
      <c r="AC449" s="196">
        <f t="shared" si="201"/>
        <v>0</v>
      </c>
      <c r="AD449" s="197">
        <f t="shared" si="202"/>
        <v>0.81849318181818187</v>
      </c>
      <c r="AE449" s="198">
        <f t="shared" si="203"/>
        <v>0</v>
      </c>
    </row>
    <row r="450" spans="1:31" s="40" customFormat="1" ht="15" customHeight="1">
      <c r="A450" s="152"/>
      <c r="B450" s="274" t="s">
        <v>94</v>
      </c>
      <c r="C450" s="275"/>
      <c r="D450" s="275"/>
      <c r="E450" s="275"/>
      <c r="F450" s="276"/>
      <c r="G450" s="277">
        <v>3200</v>
      </c>
      <c r="H450" s="278"/>
      <c r="I450" s="116">
        <v>800</v>
      </c>
      <c r="J450" s="116">
        <v>0</v>
      </c>
      <c r="K450" s="116">
        <v>0</v>
      </c>
      <c r="L450" s="116">
        <v>911</v>
      </c>
      <c r="M450" s="116">
        <v>0</v>
      </c>
      <c r="N450" s="116">
        <v>0</v>
      </c>
      <c r="O450" s="116">
        <f>800+800+800+800</f>
        <v>3200</v>
      </c>
      <c r="P450" s="116">
        <v>0</v>
      </c>
      <c r="Q450" s="116">
        <v>0</v>
      </c>
      <c r="R450" s="116">
        <f>2289+911</f>
        <v>3200</v>
      </c>
      <c r="S450" s="116">
        <v>0</v>
      </c>
      <c r="T450" s="117">
        <v>0</v>
      </c>
      <c r="U450" s="153">
        <f t="shared" si="195"/>
        <v>1</v>
      </c>
      <c r="V450" s="196">
        <f>+'Mensual VEME2019'!I1421+'Mensual VEME2019'!I1294+'Mensual VEME2019'!I1168</f>
        <v>800</v>
      </c>
      <c r="W450" s="196">
        <f t="shared" si="196"/>
        <v>0</v>
      </c>
      <c r="X450" s="196">
        <f>+'Mensual VEME2019'!L1421+'Mensual VEME2019'!L1294+'Mensual VEME2019'!L1168</f>
        <v>911</v>
      </c>
      <c r="Y450" s="196">
        <f t="shared" si="197"/>
        <v>0</v>
      </c>
      <c r="Z450" s="196">
        <f t="shared" si="198"/>
        <v>3200</v>
      </c>
      <c r="AA450" s="196">
        <f t="shared" si="199"/>
        <v>0</v>
      </c>
      <c r="AB450" s="196">
        <f t="shared" si="200"/>
        <v>3200</v>
      </c>
      <c r="AC450" s="196">
        <f t="shared" si="201"/>
        <v>0</v>
      </c>
      <c r="AD450" s="197">
        <f t="shared" si="202"/>
        <v>1</v>
      </c>
      <c r="AE450" s="198">
        <f t="shared" si="203"/>
        <v>0</v>
      </c>
    </row>
    <row r="451" spans="1:31" s="40" customFormat="1" ht="15.75" thickBot="1">
      <c r="A451" s="152"/>
      <c r="B451" s="279"/>
      <c r="C451" s="280"/>
      <c r="D451" s="280"/>
      <c r="E451" s="280"/>
      <c r="F451" s="281"/>
      <c r="G451" s="282"/>
      <c r="H451" s="283"/>
      <c r="I451" s="163"/>
      <c r="J451" s="163"/>
      <c r="K451" s="163"/>
      <c r="L451" s="163"/>
      <c r="M451" s="163"/>
      <c r="N451" s="163"/>
      <c r="O451" s="163"/>
      <c r="P451" s="163"/>
      <c r="Q451" s="163"/>
      <c r="R451" s="163"/>
      <c r="S451" s="163"/>
      <c r="T451" s="164"/>
      <c r="U451" s="165"/>
    </row>
    <row r="452" spans="1:31" ht="15.75" thickBot="1">
      <c r="A452" s="23"/>
      <c r="B452" s="257" t="s">
        <v>21</v>
      </c>
      <c r="C452" s="258"/>
      <c r="D452" s="258"/>
      <c r="E452" s="258"/>
      <c r="F452" s="259"/>
      <c r="G452" s="260">
        <f>SUM(G443:H451)</f>
        <v>104428</v>
      </c>
      <c r="H452" s="261"/>
      <c r="I452" s="29">
        <f>SUM(I443:I451)</f>
        <v>45800</v>
      </c>
      <c r="J452" s="29"/>
      <c r="K452" s="29"/>
      <c r="L452" s="29">
        <f>SUM(L443:L451)</f>
        <v>48324.24</v>
      </c>
      <c r="M452" s="29"/>
      <c r="N452" s="29"/>
      <c r="O452" s="29">
        <f>SUM(O443:O451)</f>
        <v>104428</v>
      </c>
      <c r="P452" s="29"/>
      <c r="Q452" s="29"/>
      <c r="R452" s="29">
        <f>SUM(R443:R451)</f>
        <v>103629.37</v>
      </c>
      <c r="S452" s="30"/>
      <c r="T452" s="73"/>
      <c r="U452" s="71">
        <f t="shared" ref="U452" si="204">R452/G452</f>
        <v>0.9923523384532883</v>
      </c>
      <c r="V452" s="196">
        <f>+'Mensual VEME2019'!I1423+'Mensual VEME2019'!I1296+'Mensual VEME2019'!I1170</f>
        <v>45800</v>
      </c>
      <c r="W452" s="196">
        <f t="shared" ref="W452" si="205">+I452-V452</f>
        <v>0</v>
      </c>
      <c r="X452" s="196">
        <f>+'Mensual VEME2019'!L1423+'Mensual VEME2019'!L1296+'Mensual VEME2019'!L1170</f>
        <v>48324.24</v>
      </c>
      <c r="Y452" s="196">
        <f t="shared" ref="Y452" si="206">+L452-X452</f>
        <v>0</v>
      </c>
      <c r="Z452" s="196">
        <f t="shared" ref="Z452" si="207">+V452+O324</f>
        <v>104428</v>
      </c>
      <c r="AA452" s="196">
        <f t="shared" ref="AA452" si="208">+O452-Z452</f>
        <v>0</v>
      </c>
      <c r="AB452" s="196">
        <f t="shared" ref="AB452" si="209">+X452+R324</f>
        <v>103629.37</v>
      </c>
      <c r="AC452" s="196">
        <f t="shared" ref="AC452" si="210">+R452-AB452</f>
        <v>0</v>
      </c>
      <c r="AD452" s="197">
        <f t="shared" ref="AD452" si="211">+AB452/G452</f>
        <v>0.9923523384532883</v>
      </c>
      <c r="AE452" s="198">
        <f t="shared" ref="AE452" si="212">+U452-AD452</f>
        <v>0</v>
      </c>
    </row>
    <row r="453" spans="1:31" ht="15.75" thickBot="1">
      <c r="C453" s="32"/>
      <c r="I453" s="104">
        <f>SUM(I440,I452)</f>
        <v>170050</v>
      </c>
      <c r="J453" s="130"/>
      <c r="K453" s="130"/>
      <c r="L453" s="104">
        <f>SUM(L440,L452)</f>
        <v>316400.77</v>
      </c>
      <c r="M453" s="130"/>
      <c r="N453" s="131"/>
      <c r="O453" s="104">
        <f>SUM(O440,O452)</f>
        <v>779836</v>
      </c>
      <c r="P453" s="130"/>
      <c r="Q453" s="130"/>
      <c r="R453" s="104">
        <f>SUM(R440,R452)</f>
        <v>779835.99999999988</v>
      </c>
      <c r="U453" s="33"/>
    </row>
    <row r="454" spans="1:31" ht="15.75" thickBot="1">
      <c r="B454" s="262" t="s">
        <v>31</v>
      </c>
      <c r="C454" s="263"/>
      <c r="D454" s="263"/>
      <c r="E454" s="263"/>
      <c r="F454" s="263"/>
      <c r="G454" s="263"/>
      <c r="H454" s="263"/>
      <c r="I454" s="263"/>
      <c r="J454" s="263"/>
      <c r="K454" s="263"/>
      <c r="L454" s="263"/>
      <c r="M454" s="263"/>
      <c r="N454" s="263"/>
      <c r="O454" s="263"/>
      <c r="P454" s="263"/>
      <c r="Q454" s="263"/>
      <c r="R454" s="263"/>
      <c r="S454" s="263"/>
      <c r="T454" s="263"/>
      <c r="U454" s="263"/>
      <c r="V454" s="34"/>
    </row>
    <row r="455" spans="1:31" ht="15" customHeight="1" thickBot="1">
      <c r="B455" s="264"/>
      <c r="C455" s="265"/>
      <c r="D455" s="267" t="s">
        <v>15</v>
      </c>
      <c r="E455" s="268"/>
      <c r="F455" s="268"/>
      <c r="G455" s="268"/>
      <c r="H455" s="268"/>
      <c r="I455" s="269"/>
      <c r="J455" s="267" t="s">
        <v>122</v>
      </c>
      <c r="K455" s="268"/>
      <c r="L455" s="268"/>
      <c r="M455" s="268"/>
      <c r="N455" s="268"/>
      <c r="O455" s="269"/>
      <c r="P455" s="267" t="s">
        <v>121</v>
      </c>
      <c r="Q455" s="268"/>
      <c r="R455" s="268"/>
      <c r="S455" s="268"/>
      <c r="T455" s="268"/>
      <c r="U455" s="269"/>
    </row>
    <row r="456" spans="1:31" ht="15.75" customHeight="1" thickBot="1">
      <c r="B456" s="219"/>
      <c r="C456" s="266"/>
      <c r="D456" s="270" t="s">
        <v>26</v>
      </c>
      <c r="E456" s="271"/>
      <c r="F456" s="272" t="s">
        <v>27</v>
      </c>
      <c r="G456" s="273"/>
      <c r="H456" s="268" t="s">
        <v>28</v>
      </c>
      <c r="I456" s="269"/>
      <c r="J456" s="272" t="s">
        <v>26</v>
      </c>
      <c r="K456" s="273"/>
      <c r="L456" s="272" t="s">
        <v>27</v>
      </c>
      <c r="M456" s="273"/>
      <c r="N456" s="268" t="s">
        <v>28</v>
      </c>
      <c r="O456" s="269"/>
      <c r="P456" s="272" t="s">
        <v>26</v>
      </c>
      <c r="Q456" s="273"/>
      <c r="R456" s="272" t="s">
        <v>27</v>
      </c>
      <c r="S456" s="273"/>
      <c r="T456" s="268" t="s">
        <v>28</v>
      </c>
      <c r="U456" s="269"/>
    </row>
    <row r="457" spans="1:31" ht="30" customHeight="1">
      <c r="A457" s="23"/>
      <c r="B457" s="250" t="s">
        <v>33</v>
      </c>
      <c r="C457" s="251"/>
      <c r="D457" s="252">
        <v>675408</v>
      </c>
      <c r="E457" s="253"/>
      <c r="F457" s="252">
        <v>0</v>
      </c>
      <c r="G457" s="253"/>
      <c r="H457" s="252">
        <v>0</v>
      </c>
      <c r="I457" s="253"/>
      <c r="J457" s="254">
        <v>268076.53000000003</v>
      </c>
      <c r="K457" s="255"/>
      <c r="L457" s="240">
        <v>0</v>
      </c>
      <c r="M457" s="253"/>
      <c r="N457" s="240">
        <v>0</v>
      </c>
      <c r="O457" s="256"/>
      <c r="P457" s="254">
        <f>23416.71+27887.03+23419.61+20279.25+15856.72+25980.18+94293.4+96348.75+80648.45+268076.53</f>
        <v>676206.63000000012</v>
      </c>
      <c r="Q457" s="255"/>
      <c r="R457" s="240">
        <v>0</v>
      </c>
      <c r="S457" s="253"/>
      <c r="T457" s="240">
        <v>0</v>
      </c>
      <c r="U457" s="241"/>
    </row>
    <row r="458" spans="1:31" ht="30" customHeight="1" thickBot="1">
      <c r="A458" s="4"/>
      <c r="B458" s="242" t="s">
        <v>34</v>
      </c>
      <c r="C458" s="243"/>
      <c r="D458" s="244">
        <v>104428</v>
      </c>
      <c r="E458" s="245"/>
      <c r="F458" s="244">
        <v>0</v>
      </c>
      <c r="G458" s="245"/>
      <c r="H458" s="244">
        <v>0</v>
      </c>
      <c r="I458" s="245"/>
      <c r="J458" s="244">
        <v>48324.24</v>
      </c>
      <c r="K458" s="245"/>
      <c r="L458" s="246">
        <v>0</v>
      </c>
      <c r="M458" s="245"/>
      <c r="N458" s="246">
        <v>0</v>
      </c>
      <c r="O458" s="247"/>
      <c r="P458" s="248">
        <f>0+0+0+12328+6710.67+9289.33+1952.17+6093.87+18931.09+48324.24</f>
        <v>103629.37</v>
      </c>
      <c r="Q458" s="249"/>
      <c r="R458" s="246">
        <v>0</v>
      </c>
      <c r="S458" s="245"/>
      <c r="T458" s="246">
        <v>0</v>
      </c>
      <c r="U458" s="247"/>
    </row>
    <row r="459" spans="1:31" ht="15.75" thickBot="1">
      <c r="A459" s="23"/>
      <c r="B459" s="233" t="s">
        <v>21</v>
      </c>
      <c r="C459" s="234"/>
      <c r="D459" s="235">
        <f>SUM(D457:E458)</f>
        <v>779836</v>
      </c>
      <c r="E459" s="236"/>
      <c r="F459" s="235">
        <f>SUM(F457:G458)</f>
        <v>0</v>
      </c>
      <c r="G459" s="236"/>
      <c r="H459" s="235">
        <f>SUM(H457:I458)</f>
        <v>0</v>
      </c>
      <c r="I459" s="236"/>
      <c r="J459" s="237">
        <f>SUM(J457:K458)</f>
        <v>316400.77</v>
      </c>
      <c r="K459" s="238"/>
      <c r="L459" s="215">
        <f>SUM(L457:M458)</f>
        <v>0</v>
      </c>
      <c r="M459" s="238"/>
      <c r="N459" s="236">
        <f>SUM(N457:O458)</f>
        <v>0</v>
      </c>
      <c r="O459" s="236"/>
      <c r="P459" s="237">
        <f>SUM(P457:Q458)</f>
        <v>779836.00000000012</v>
      </c>
      <c r="Q459" s="239"/>
      <c r="R459" s="215">
        <f>SUM(R457:S458)</f>
        <v>0</v>
      </c>
      <c r="S459" s="238"/>
      <c r="T459" s="215">
        <f>SUM(T457:U458)</f>
        <v>0</v>
      </c>
      <c r="U459" s="216"/>
    </row>
    <row r="460" spans="1:31">
      <c r="A460" s="23"/>
      <c r="B460" s="182"/>
      <c r="C460" s="182"/>
      <c r="D460" s="182"/>
      <c r="E460" s="182"/>
      <c r="F460" s="178"/>
      <c r="G460" s="178"/>
      <c r="H460" s="179"/>
      <c r="I460" s="179"/>
      <c r="J460" s="178"/>
      <c r="K460" s="178"/>
      <c r="L460" s="115"/>
      <c r="M460" s="179"/>
      <c r="N460" s="178"/>
      <c r="O460" s="179"/>
      <c r="P460" s="179"/>
      <c r="Q460" s="178"/>
      <c r="R460" s="23"/>
      <c r="S460" s="23"/>
      <c r="T460" s="23"/>
      <c r="U460" s="23"/>
    </row>
    <row r="461" spans="1:31" ht="15.75" thickBot="1">
      <c r="A461" s="23"/>
      <c r="B461" s="182"/>
      <c r="C461" s="182"/>
      <c r="D461" s="182"/>
      <c r="E461" s="182"/>
      <c r="F461" s="178"/>
      <c r="G461" s="178"/>
      <c r="H461" s="178"/>
      <c r="I461" s="178"/>
      <c r="J461" s="178"/>
      <c r="K461" s="178"/>
      <c r="L461" s="178"/>
      <c r="M461" s="178"/>
      <c r="N461" s="178"/>
      <c r="O461" s="178"/>
      <c r="P461" s="178"/>
      <c r="Q461" s="178"/>
      <c r="R461" s="23"/>
      <c r="S461" s="23"/>
      <c r="T461" s="23"/>
      <c r="U461" s="23"/>
    </row>
    <row r="462" spans="1:31" ht="15.75" thickBot="1">
      <c r="B462" s="217" t="s">
        <v>35</v>
      </c>
      <c r="C462" s="218"/>
      <c r="D462" s="218"/>
      <c r="E462" s="219"/>
      <c r="F462" s="205"/>
      <c r="G462" s="205"/>
      <c r="H462" s="205"/>
      <c r="I462" s="205"/>
      <c r="J462" s="205"/>
      <c r="K462" s="205"/>
      <c r="L462" s="205"/>
      <c r="M462" s="205"/>
      <c r="N462" s="205"/>
      <c r="O462" s="205"/>
      <c r="P462" s="205"/>
      <c r="Q462" s="205"/>
      <c r="R462" s="205"/>
      <c r="S462" s="205"/>
      <c r="T462" s="205"/>
      <c r="U462" s="205"/>
    </row>
    <row r="463" spans="1:31" ht="15" customHeight="1">
      <c r="B463" s="224" t="s">
        <v>151</v>
      </c>
      <c r="C463" s="225"/>
      <c r="D463" s="225"/>
      <c r="E463" s="225"/>
      <c r="F463" s="225"/>
      <c r="G463" s="225"/>
      <c r="H463" s="225"/>
      <c r="I463" s="225"/>
      <c r="J463" s="225"/>
      <c r="K463" s="225"/>
      <c r="L463" s="225"/>
      <c r="M463" s="225"/>
      <c r="N463" s="225"/>
      <c r="O463" s="225"/>
      <c r="P463" s="225"/>
      <c r="Q463" s="225"/>
      <c r="R463" s="225"/>
      <c r="S463" s="225"/>
      <c r="T463" s="225"/>
      <c r="U463" s="226"/>
    </row>
    <row r="464" spans="1:31">
      <c r="B464" s="227"/>
      <c r="C464" s="228"/>
      <c r="D464" s="228"/>
      <c r="E464" s="228"/>
      <c r="F464" s="228"/>
      <c r="G464" s="228"/>
      <c r="H464" s="228"/>
      <c r="I464" s="228"/>
      <c r="J464" s="228"/>
      <c r="K464" s="228"/>
      <c r="L464" s="228"/>
      <c r="M464" s="228"/>
      <c r="N464" s="228"/>
      <c r="O464" s="228"/>
      <c r="P464" s="228"/>
      <c r="Q464" s="228"/>
      <c r="R464" s="228"/>
      <c r="S464" s="228"/>
      <c r="T464" s="228"/>
      <c r="U464" s="229"/>
    </row>
    <row r="465" spans="2:21">
      <c r="B465" s="227"/>
      <c r="C465" s="228"/>
      <c r="D465" s="228"/>
      <c r="E465" s="228"/>
      <c r="F465" s="228"/>
      <c r="G465" s="228"/>
      <c r="H465" s="228"/>
      <c r="I465" s="228"/>
      <c r="J465" s="228"/>
      <c r="K465" s="228"/>
      <c r="L465" s="228"/>
      <c r="M465" s="228"/>
      <c r="N465" s="228"/>
      <c r="O465" s="228"/>
      <c r="P465" s="228"/>
      <c r="Q465" s="228"/>
      <c r="R465" s="228"/>
      <c r="S465" s="228"/>
      <c r="T465" s="228"/>
      <c r="U465" s="229"/>
    </row>
    <row r="466" spans="2:21">
      <c r="B466" s="227" t="s">
        <v>152</v>
      </c>
      <c r="C466" s="228"/>
      <c r="D466" s="228"/>
      <c r="E466" s="228"/>
      <c r="F466" s="228"/>
      <c r="G466" s="228"/>
      <c r="H466" s="228"/>
      <c r="I466" s="228"/>
      <c r="J466" s="228"/>
      <c r="K466" s="228"/>
      <c r="L466" s="228"/>
      <c r="M466" s="228"/>
      <c r="N466" s="228"/>
      <c r="O466" s="228"/>
      <c r="P466" s="228"/>
      <c r="Q466" s="228"/>
      <c r="R466" s="228"/>
      <c r="S466" s="228"/>
      <c r="T466" s="228"/>
      <c r="U466" s="229"/>
    </row>
    <row r="467" spans="2:21">
      <c r="B467" s="227"/>
      <c r="C467" s="228"/>
      <c r="D467" s="228"/>
      <c r="E467" s="228"/>
      <c r="F467" s="228"/>
      <c r="G467" s="228"/>
      <c r="H467" s="228"/>
      <c r="I467" s="228"/>
      <c r="J467" s="228"/>
      <c r="K467" s="228"/>
      <c r="L467" s="228"/>
      <c r="M467" s="228"/>
      <c r="N467" s="228"/>
      <c r="O467" s="228"/>
      <c r="P467" s="228"/>
      <c r="Q467" s="228"/>
      <c r="R467" s="228"/>
      <c r="S467" s="228"/>
      <c r="T467" s="228"/>
      <c r="U467" s="229"/>
    </row>
    <row r="468" spans="2:21">
      <c r="B468" s="227"/>
      <c r="C468" s="228"/>
      <c r="D468" s="228"/>
      <c r="E468" s="228"/>
      <c r="F468" s="228"/>
      <c r="G468" s="228"/>
      <c r="H468" s="228"/>
      <c r="I468" s="228"/>
      <c r="J468" s="228"/>
      <c r="K468" s="228"/>
      <c r="L468" s="228"/>
      <c r="M468" s="228"/>
      <c r="N468" s="228"/>
      <c r="O468" s="228"/>
      <c r="P468" s="228"/>
      <c r="Q468" s="228"/>
      <c r="R468" s="228"/>
      <c r="S468" s="228"/>
      <c r="T468" s="228"/>
      <c r="U468" s="229"/>
    </row>
    <row r="469" spans="2:21" ht="15.75" thickBot="1">
      <c r="B469" s="230"/>
      <c r="C469" s="231"/>
      <c r="D469" s="231"/>
      <c r="E469" s="231"/>
      <c r="F469" s="231"/>
      <c r="G469" s="231"/>
      <c r="H469" s="231"/>
      <c r="I469" s="231"/>
      <c r="J469" s="231"/>
      <c r="K469" s="231"/>
      <c r="L469" s="231"/>
      <c r="M469" s="231"/>
      <c r="N469" s="231"/>
      <c r="O469" s="231"/>
      <c r="P469" s="231"/>
      <c r="Q469" s="231"/>
      <c r="R469" s="231"/>
      <c r="S469" s="231"/>
      <c r="T469" s="231"/>
      <c r="U469" s="232"/>
    </row>
    <row r="470" spans="2:21">
      <c r="B470" s="23"/>
    </row>
    <row r="471" spans="2:21">
      <c r="H471" s="40"/>
      <c r="I471" s="40"/>
      <c r="O471" s="40"/>
      <c r="Q471" s="40"/>
    </row>
    <row r="472" spans="2:21">
      <c r="B472" s="220" t="s">
        <v>38</v>
      </c>
      <c r="C472" s="220"/>
      <c r="D472" s="220"/>
      <c r="E472" s="220"/>
      <c r="F472" s="220"/>
      <c r="G472" s="220"/>
      <c r="I472" s="41"/>
      <c r="J472" s="213" t="s">
        <v>36</v>
      </c>
      <c r="K472" s="213"/>
      <c r="L472" s="213"/>
      <c r="M472" s="213"/>
      <c r="N472" s="213"/>
      <c r="O472" s="213"/>
      <c r="R472" s="213" t="s">
        <v>37</v>
      </c>
      <c r="S472" s="213"/>
      <c r="T472" s="213"/>
      <c r="U472" s="213"/>
    </row>
    <row r="473" spans="2:21">
      <c r="B473" s="220"/>
      <c r="C473" s="220"/>
      <c r="D473" s="220"/>
      <c r="E473" s="220"/>
      <c r="F473" s="220"/>
      <c r="G473" s="220"/>
      <c r="H473" s="42"/>
      <c r="I473" s="42"/>
      <c r="J473" s="221"/>
      <c r="K473" s="221"/>
      <c r="L473" s="221"/>
      <c r="M473" s="221"/>
      <c r="N473" s="221"/>
      <c r="O473" s="221"/>
      <c r="P473" s="42"/>
      <c r="Q473" s="42"/>
      <c r="R473" s="210" t="s">
        <v>0</v>
      </c>
      <c r="S473" s="210"/>
      <c r="T473" s="210"/>
      <c r="U473" s="210"/>
    </row>
    <row r="474" spans="2:21">
      <c r="B474" s="220"/>
      <c r="C474" s="220"/>
      <c r="D474" s="220"/>
      <c r="E474" s="220"/>
      <c r="F474" s="220"/>
      <c r="G474" s="220"/>
      <c r="H474" s="177"/>
      <c r="I474" s="177"/>
      <c r="J474" s="221"/>
      <c r="K474" s="221"/>
      <c r="L474" s="221"/>
      <c r="M474" s="221"/>
      <c r="N474" s="221"/>
      <c r="O474" s="221"/>
      <c r="P474" s="177"/>
      <c r="Q474" s="177"/>
      <c r="R474" s="210"/>
      <c r="S474" s="210"/>
      <c r="T474" s="210"/>
      <c r="U474" s="210"/>
    </row>
    <row r="475" spans="2:21">
      <c r="B475" s="220"/>
      <c r="C475" s="220"/>
      <c r="D475" s="220"/>
      <c r="E475" s="220"/>
      <c r="F475" s="220"/>
      <c r="G475" s="220"/>
      <c r="H475" s="177"/>
      <c r="I475" s="177"/>
      <c r="J475" s="221"/>
      <c r="K475" s="221"/>
      <c r="L475" s="221"/>
      <c r="M475" s="221"/>
      <c r="N475" s="221"/>
      <c r="O475" s="221"/>
      <c r="P475" s="177"/>
      <c r="Q475" s="177"/>
      <c r="R475" s="210"/>
      <c r="S475" s="210"/>
      <c r="T475" s="210"/>
      <c r="U475" s="210"/>
    </row>
    <row r="476" spans="2:21">
      <c r="B476" s="220"/>
      <c r="C476" s="220"/>
      <c r="D476" s="220"/>
      <c r="E476" s="220"/>
      <c r="F476" s="220"/>
      <c r="G476" s="220"/>
      <c r="H476" s="177"/>
      <c r="I476" s="177"/>
      <c r="J476" s="221"/>
      <c r="K476" s="221"/>
      <c r="L476" s="221"/>
      <c r="M476" s="221"/>
      <c r="N476" s="221"/>
      <c r="O476" s="221"/>
      <c r="P476" s="177"/>
      <c r="Q476" s="177"/>
      <c r="R476" s="210"/>
      <c r="S476" s="210"/>
      <c r="T476" s="210"/>
      <c r="U476" s="210"/>
    </row>
    <row r="477" spans="2:21" ht="15.75" thickBot="1">
      <c r="B477" s="223"/>
      <c r="C477" s="223"/>
      <c r="D477" s="223"/>
      <c r="E477" s="223"/>
      <c r="F477" s="223"/>
      <c r="G477" s="223"/>
      <c r="J477" s="222"/>
      <c r="K477" s="222"/>
      <c r="L477" s="222"/>
      <c r="M477" s="222"/>
      <c r="N477" s="222"/>
      <c r="O477" s="222"/>
      <c r="R477" s="205"/>
      <c r="S477" s="205"/>
      <c r="T477" s="205"/>
      <c r="U477" s="205"/>
    </row>
    <row r="478" spans="2:21">
      <c r="B478" s="210" t="s">
        <v>101</v>
      </c>
      <c r="C478" s="210"/>
      <c r="D478" s="210"/>
      <c r="E478" s="210"/>
      <c r="F478" s="210"/>
      <c r="G478" s="210"/>
      <c r="J478" s="204" t="s">
        <v>102</v>
      </c>
      <c r="K478" s="204"/>
      <c r="L478" s="204"/>
      <c r="M478" s="204"/>
      <c r="N478" s="204"/>
      <c r="O478" s="204"/>
      <c r="R478" s="211" t="s">
        <v>137</v>
      </c>
      <c r="S478" s="211"/>
      <c r="T478" s="211"/>
      <c r="U478" s="211"/>
    </row>
    <row r="479" spans="2:21">
      <c r="B479" s="204" t="s">
        <v>103</v>
      </c>
      <c r="C479" s="204"/>
      <c r="D479" s="204"/>
      <c r="E479" s="204"/>
      <c r="F479" s="204"/>
      <c r="G479" s="204"/>
      <c r="J479" s="212" t="s">
        <v>104</v>
      </c>
      <c r="K479" s="212"/>
      <c r="L479" s="212"/>
      <c r="M479" s="212"/>
      <c r="N479" s="212"/>
      <c r="O479" s="212"/>
      <c r="P479" s="118"/>
      <c r="Q479" s="118"/>
      <c r="R479" s="212" t="s">
        <v>105</v>
      </c>
      <c r="S479" s="212"/>
      <c r="T479" s="212"/>
      <c r="U479" s="212"/>
    </row>
    <row r="481" spans="2:21">
      <c r="J481" s="213" t="s">
        <v>50</v>
      </c>
      <c r="K481" s="213"/>
      <c r="L481" s="213"/>
      <c r="M481" s="213"/>
      <c r="N481" s="213"/>
      <c r="O481" s="213"/>
    </row>
    <row r="482" spans="2:21">
      <c r="C482" s="214" t="s">
        <v>157</v>
      </c>
      <c r="D482" s="214"/>
      <c r="E482" s="214"/>
      <c r="F482" s="214"/>
      <c r="J482" s="206" t="s">
        <v>48</v>
      </c>
      <c r="K482" s="206"/>
      <c r="L482" s="206"/>
      <c r="M482" s="206"/>
      <c r="N482" s="206"/>
      <c r="O482" s="206"/>
      <c r="R482" s="206" t="s">
        <v>51</v>
      </c>
      <c r="S482" s="206"/>
      <c r="T482" s="206"/>
      <c r="U482" s="206"/>
    </row>
    <row r="483" spans="2:21">
      <c r="B483" s="204"/>
      <c r="C483" s="204"/>
      <c r="D483" s="204"/>
      <c r="E483" s="204"/>
      <c r="F483" s="204"/>
      <c r="G483" s="204"/>
      <c r="J483" s="206"/>
      <c r="K483" s="206"/>
      <c r="L483" s="206"/>
      <c r="M483" s="206"/>
      <c r="N483" s="206"/>
      <c r="O483" s="206"/>
      <c r="R483" s="204"/>
      <c r="S483" s="204"/>
      <c r="T483" s="204"/>
      <c r="U483" s="204"/>
    </row>
    <row r="484" spans="2:21">
      <c r="B484" s="204"/>
      <c r="C484" s="204"/>
      <c r="D484" s="204"/>
      <c r="E484" s="204"/>
      <c r="F484" s="204"/>
      <c r="G484" s="204"/>
      <c r="J484" s="206"/>
      <c r="K484" s="206"/>
      <c r="L484" s="206"/>
      <c r="M484" s="206"/>
      <c r="N484" s="206"/>
      <c r="O484" s="206"/>
      <c r="R484" s="204"/>
      <c r="S484" s="204"/>
      <c r="T484" s="204"/>
      <c r="U484" s="204"/>
    </row>
    <row r="485" spans="2:21">
      <c r="B485" s="204"/>
      <c r="C485" s="204"/>
      <c r="D485" s="204"/>
      <c r="E485" s="204"/>
      <c r="F485" s="204"/>
      <c r="G485" s="204"/>
      <c r="J485" s="206"/>
      <c r="K485" s="206"/>
      <c r="L485" s="206"/>
      <c r="M485" s="206"/>
      <c r="N485" s="206"/>
      <c r="O485" s="206"/>
      <c r="R485" s="204"/>
      <c r="S485" s="204"/>
      <c r="T485" s="204"/>
      <c r="U485" s="204"/>
    </row>
    <row r="486" spans="2:21" ht="15.75" thickBot="1">
      <c r="B486" s="205"/>
      <c r="C486" s="205"/>
      <c r="D486" s="205"/>
      <c r="E486" s="205"/>
      <c r="F486" s="205"/>
      <c r="G486" s="205"/>
      <c r="H486" s="51"/>
      <c r="I486" s="51"/>
      <c r="J486" s="207"/>
      <c r="K486" s="207"/>
      <c r="L486" s="207"/>
      <c r="M486" s="207"/>
      <c r="N486" s="207"/>
      <c r="O486" s="207"/>
      <c r="P486" s="51"/>
      <c r="Q486" s="51"/>
      <c r="R486" s="205"/>
      <c r="S486" s="205"/>
      <c r="T486" s="205"/>
      <c r="U486" s="205"/>
    </row>
    <row r="487" spans="2:21">
      <c r="B487" s="208" t="s">
        <v>106</v>
      </c>
      <c r="C487" s="208"/>
      <c r="D487" s="208"/>
      <c r="E487" s="208"/>
      <c r="F487" s="208"/>
      <c r="G487" s="208"/>
      <c r="H487" s="119"/>
      <c r="I487" s="119"/>
      <c r="J487" s="208" t="s">
        <v>107</v>
      </c>
      <c r="K487" s="208"/>
      <c r="L487" s="208"/>
      <c r="M487" s="208"/>
      <c r="N487" s="208"/>
      <c r="O487" s="208"/>
      <c r="P487" s="51"/>
      <c r="Q487" s="51"/>
      <c r="R487" s="208" t="s">
        <v>108</v>
      </c>
      <c r="S487" s="208"/>
      <c r="T487" s="208"/>
      <c r="U487" s="208"/>
    </row>
    <row r="488" spans="2:21" ht="32.25" customHeight="1">
      <c r="B488" s="209" t="s">
        <v>109</v>
      </c>
      <c r="C488" s="209"/>
      <c r="D488" s="209"/>
      <c r="E488" s="209"/>
      <c r="F488" s="209"/>
      <c r="G488" s="209"/>
      <c r="J488" s="209" t="s">
        <v>110</v>
      </c>
      <c r="K488" s="209"/>
      <c r="L488" s="209"/>
      <c r="M488" s="209"/>
      <c r="N488" s="209"/>
      <c r="O488" s="209"/>
      <c r="R488" s="209" t="s">
        <v>111</v>
      </c>
      <c r="S488" s="209"/>
      <c r="T488" s="209"/>
      <c r="U488" s="209"/>
    </row>
  </sheetData>
  <mergeCells count="1349">
    <mergeCell ref="B355:G358"/>
    <mergeCell ref="J355:O358"/>
    <mergeCell ref="R355:U358"/>
    <mergeCell ref="B359:G359"/>
    <mergeCell ref="J359:O359"/>
    <mergeCell ref="R359:U359"/>
    <mergeCell ref="B360:G360"/>
    <mergeCell ref="J360:O360"/>
    <mergeCell ref="R360:U360"/>
    <mergeCell ref="B350:G350"/>
    <mergeCell ref="J350:O350"/>
    <mergeCell ref="R350:U350"/>
    <mergeCell ref="B351:G351"/>
    <mergeCell ref="J351:O351"/>
    <mergeCell ref="R351:U351"/>
    <mergeCell ref="J353:O353"/>
    <mergeCell ref="C354:F354"/>
    <mergeCell ref="J354:O354"/>
    <mergeCell ref="R354:U354"/>
    <mergeCell ref="J344:O344"/>
    <mergeCell ref="R344:U344"/>
    <mergeCell ref="B345:G345"/>
    <mergeCell ref="J345:O349"/>
    <mergeCell ref="R345:U349"/>
    <mergeCell ref="B346:G349"/>
    <mergeCell ref="B331:C331"/>
    <mergeCell ref="D331:E331"/>
    <mergeCell ref="F331:G331"/>
    <mergeCell ref="H331:I331"/>
    <mergeCell ref="J331:K331"/>
    <mergeCell ref="L331:M331"/>
    <mergeCell ref="N331:O331"/>
    <mergeCell ref="P331:Q331"/>
    <mergeCell ref="R331:S331"/>
    <mergeCell ref="B344:G344"/>
    <mergeCell ref="B242:U242"/>
    <mergeCell ref="T331:U331"/>
    <mergeCell ref="B334:D334"/>
    <mergeCell ref="E334:U334"/>
    <mergeCell ref="B335:U341"/>
    <mergeCell ref="T329:U329"/>
    <mergeCell ref="B330:C330"/>
    <mergeCell ref="D330:E330"/>
    <mergeCell ref="F330:G330"/>
    <mergeCell ref="H330:I330"/>
    <mergeCell ref="J330:K330"/>
    <mergeCell ref="L330:M330"/>
    <mergeCell ref="N330:O330"/>
    <mergeCell ref="P330:Q330"/>
    <mergeCell ref="R330:S330"/>
    <mergeCell ref="T330:U330"/>
    <mergeCell ref="B329:C329"/>
    <mergeCell ref="D329:E329"/>
    <mergeCell ref="F329:G329"/>
    <mergeCell ref="H329:I329"/>
    <mergeCell ref="J329:K329"/>
    <mergeCell ref="L329:M329"/>
    <mergeCell ref="N329:O329"/>
    <mergeCell ref="P329:Q329"/>
    <mergeCell ref="R329:S329"/>
    <mergeCell ref="B319:F319"/>
    <mergeCell ref="G319:H319"/>
    <mergeCell ref="B320:F320"/>
    <mergeCell ref="G320:H320"/>
    <mergeCell ref="B321:F321"/>
    <mergeCell ref="G321:H321"/>
    <mergeCell ref="B322:F322"/>
    <mergeCell ref="G322:H322"/>
    <mergeCell ref="B323:F323"/>
    <mergeCell ref="G323:H323"/>
    <mergeCell ref="B324:F324"/>
    <mergeCell ref="G324:H324"/>
    <mergeCell ref="B326:U326"/>
    <mergeCell ref="B327:C328"/>
    <mergeCell ref="D327:I327"/>
    <mergeCell ref="J327:O327"/>
    <mergeCell ref="D328:E328"/>
    <mergeCell ref="F328:G328"/>
    <mergeCell ref="H328:I328"/>
    <mergeCell ref="J328:K328"/>
    <mergeCell ref="L328:M328"/>
    <mergeCell ref="N328:O328"/>
    <mergeCell ref="P328:Q328"/>
    <mergeCell ref="R328:S328"/>
    <mergeCell ref="T328:U328"/>
    <mergeCell ref="P327:U327"/>
    <mergeCell ref="B310:F310"/>
    <mergeCell ref="G310:H310"/>
    <mergeCell ref="B311:F311"/>
    <mergeCell ref="G311:H311"/>
    <mergeCell ref="B312:F312"/>
    <mergeCell ref="G312:H312"/>
    <mergeCell ref="B313:F313"/>
    <mergeCell ref="G313:H313"/>
    <mergeCell ref="B314:U314"/>
    <mergeCell ref="B315:F315"/>
    <mergeCell ref="G315:H315"/>
    <mergeCell ref="B316:F316"/>
    <mergeCell ref="G316:H316"/>
    <mergeCell ref="B317:F317"/>
    <mergeCell ref="G317:H317"/>
    <mergeCell ref="B318:F318"/>
    <mergeCell ref="G318:H318"/>
    <mergeCell ref="B301:F301"/>
    <mergeCell ref="G301:H301"/>
    <mergeCell ref="B302:F302"/>
    <mergeCell ref="G302:H302"/>
    <mergeCell ref="B303:F303"/>
    <mergeCell ref="G303:H303"/>
    <mergeCell ref="B304:F304"/>
    <mergeCell ref="G304:H304"/>
    <mergeCell ref="B305:F305"/>
    <mergeCell ref="G305:H305"/>
    <mergeCell ref="B306:F306"/>
    <mergeCell ref="G306:H306"/>
    <mergeCell ref="B307:F307"/>
    <mergeCell ref="G307:H307"/>
    <mergeCell ref="B308:F308"/>
    <mergeCell ref="G308:H308"/>
    <mergeCell ref="B309:F309"/>
    <mergeCell ref="G309:H309"/>
    <mergeCell ref="B293:F293"/>
    <mergeCell ref="G293:H293"/>
    <mergeCell ref="B294:F294"/>
    <mergeCell ref="G294:H294"/>
    <mergeCell ref="B292:F292"/>
    <mergeCell ref="G292:H292"/>
    <mergeCell ref="B295:F295"/>
    <mergeCell ref="G295:H295"/>
    <mergeCell ref="B296:F296"/>
    <mergeCell ref="G296:H296"/>
    <mergeCell ref="B297:F297"/>
    <mergeCell ref="G297:H297"/>
    <mergeCell ref="B298:F298"/>
    <mergeCell ref="G298:H298"/>
    <mergeCell ref="B299:F299"/>
    <mergeCell ref="G299:H299"/>
    <mergeCell ref="B300:F300"/>
    <mergeCell ref="G300:H300"/>
    <mergeCell ref="B283:F283"/>
    <mergeCell ref="G283:N283"/>
    <mergeCell ref="O283:U283"/>
    <mergeCell ref="B285:F288"/>
    <mergeCell ref="G285:U285"/>
    <mergeCell ref="G286:H288"/>
    <mergeCell ref="I286:N286"/>
    <mergeCell ref="O286:U286"/>
    <mergeCell ref="I287:K287"/>
    <mergeCell ref="L287:N287"/>
    <mergeCell ref="O287:Q287"/>
    <mergeCell ref="R287:T287"/>
    <mergeCell ref="U287:U288"/>
    <mergeCell ref="B289:U289"/>
    <mergeCell ref="B290:F290"/>
    <mergeCell ref="G290:H290"/>
    <mergeCell ref="B291:F291"/>
    <mergeCell ref="G291:H291"/>
    <mergeCell ref="B280:D280"/>
    <mergeCell ref="E280:F280"/>
    <mergeCell ref="G280:H280"/>
    <mergeCell ref="I280:K280"/>
    <mergeCell ref="L280:N280"/>
    <mergeCell ref="O280:Q280"/>
    <mergeCell ref="R280:T280"/>
    <mergeCell ref="B281:D281"/>
    <mergeCell ref="E281:F281"/>
    <mergeCell ref="G281:H281"/>
    <mergeCell ref="I281:K281"/>
    <mergeCell ref="L281:N281"/>
    <mergeCell ref="O281:Q281"/>
    <mergeCell ref="R281:T281"/>
    <mergeCell ref="B282:D282"/>
    <mergeCell ref="E282:F282"/>
    <mergeCell ref="G282:H282"/>
    <mergeCell ref="I282:K282"/>
    <mergeCell ref="L282:N282"/>
    <mergeCell ref="O282:Q282"/>
    <mergeCell ref="R282:T282"/>
    <mergeCell ref="B277:D277"/>
    <mergeCell ref="E277:F277"/>
    <mergeCell ref="G277:H277"/>
    <mergeCell ref="I277:K277"/>
    <mergeCell ref="L277:N277"/>
    <mergeCell ref="O277:Q277"/>
    <mergeCell ref="R277:T277"/>
    <mergeCell ref="B278:D278"/>
    <mergeCell ref="E278:F278"/>
    <mergeCell ref="G278:H278"/>
    <mergeCell ref="I278:K278"/>
    <mergeCell ref="L278:N278"/>
    <mergeCell ref="O278:Q278"/>
    <mergeCell ref="R278:T278"/>
    <mergeCell ref="B279:D279"/>
    <mergeCell ref="E279:F279"/>
    <mergeCell ref="G279:H279"/>
    <mergeCell ref="I279:K279"/>
    <mergeCell ref="L279:N279"/>
    <mergeCell ref="O279:Q279"/>
    <mergeCell ref="R279:T279"/>
    <mergeCell ref="B274:D274"/>
    <mergeCell ref="E274:F274"/>
    <mergeCell ref="G274:H274"/>
    <mergeCell ref="I274:K274"/>
    <mergeCell ref="L274:N274"/>
    <mergeCell ref="O274:Q274"/>
    <mergeCell ref="R274:T274"/>
    <mergeCell ref="B275:D275"/>
    <mergeCell ref="E275:F275"/>
    <mergeCell ref="G275:H275"/>
    <mergeCell ref="I275:K275"/>
    <mergeCell ref="L275:N275"/>
    <mergeCell ref="O275:Q275"/>
    <mergeCell ref="R275:T275"/>
    <mergeCell ref="B276:D276"/>
    <mergeCell ref="E276:F276"/>
    <mergeCell ref="G276:H276"/>
    <mergeCell ref="I276:K276"/>
    <mergeCell ref="L276:N276"/>
    <mergeCell ref="O276:Q276"/>
    <mergeCell ref="R276:T276"/>
    <mergeCell ref="B271:D271"/>
    <mergeCell ref="E271:F271"/>
    <mergeCell ref="G271:H271"/>
    <mergeCell ref="I271:K271"/>
    <mergeCell ref="L271:N271"/>
    <mergeCell ref="O271:Q271"/>
    <mergeCell ref="R271:T271"/>
    <mergeCell ref="B272:D272"/>
    <mergeCell ref="E272:F272"/>
    <mergeCell ref="G272:H272"/>
    <mergeCell ref="I272:K272"/>
    <mergeCell ref="L272:N272"/>
    <mergeCell ref="O272:Q272"/>
    <mergeCell ref="R272:T272"/>
    <mergeCell ref="B273:D273"/>
    <mergeCell ref="E273:F273"/>
    <mergeCell ref="G273:H273"/>
    <mergeCell ref="I273:K273"/>
    <mergeCell ref="L273:N273"/>
    <mergeCell ref="O273:Q273"/>
    <mergeCell ref="R273:T273"/>
    <mergeCell ref="B268:D268"/>
    <mergeCell ref="E268:F268"/>
    <mergeCell ref="G268:H268"/>
    <mergeCell ref="I268:K268"/>
    <mergeCell ref="L268:N268"/>
    <mergeCell ref="O268:Q268"/>
    <mergeCell ref="R268:T268"/>
    <mergeCell ref="B269:D269"/>
    <mergeCell ref="E269:F269"/>
    <mergeCell ref="G269:H269"/>
    <mergeCell ref="I269:K269"/>
    <mergeCell ref="L269:N269"/>
    <mergeCell ref="O269:Q269"/>
    <mergeCell ref="R269:T269"/>
    <mergeCell ref="B270:D270"/>
    <mergeCell ref="E270:F270"/>
    <mergeCell ref="G270:H270"/>
    <mergeCell ref="I270:K270"/>
    <mergeCell ref="L270:N270"/>
    <mergeCell ref="O270:Q270"/>
    <mergeCell ref="R270:T270"/>
    <mergeCell ref="B265:D265"/>
    <mergeCell ref="E265:F265"/>
    <mergeCell ref="G265:H265"/>
    <mergeCell ref="I265:K265"/>
    <mergeCell ref="L265:N265"/>
    <mergeCell ref="O265:Q265"/>
    <mergeCell ref="R265:T265"/>
    <mergeCell ref="B266:D266"/>
    <mergeCell ref="E266:F266"/>
    <mergeCell ref="G266:H266"/>
    <mergeCell ref="I266:K266"/>
    <mergeCell ref="L266:N266"/>
    <mergeCell ref="O266:Q266"/>
    <mergeCell ref="R266:T266"/>
    <mergeCell ref="B267:D267"/>
    <mergeCell ref="E267:F267"/>
    <mergeCell ref="G267:H267"/>
    <mergeCell ref="I267:K267"/>
    <mergeCell ref="L267:N267"/>
    <mergeCell ref="O267:Q267"/>
    <mergeCell ref="R267:T267"/>
    <mergeCell ref="B257:F257"/>
    <mergeCell ref="G257:U257"/>
    <mergeCell ref="B258:F258"/>
    <mergeCell ref="G258:U258"/>
    <mergeCell ref="B259:U259"/>
    <mergeCell ref="B260:D263"/>
    <mergeCell ref="E260:F263"/>
    <mergeCell ref="G260:U260"/>
    <mergeCell ref="G261:H263"/>
    <mergeCell ref="I261:N261"/>
    <mergeCell ref="O261:U261"/>
    <mergeCell ref="I262:K263"/>
    <mergeCell ref="L262:N263"/>
    <mergeCell ref="O262:Q263"/>
    <mergeCell ref="R262:T263"/>
    <mergeCell ref="U262:U263"/>
    <mergeCell ref="B264:D264"/>
    <mergeCell ref="E264:F264"/>
    <mergeCell ref="G264:H264"/>
    <mergeCell ref="I264:K264"/>
    <mergeCell ref="L264:N264"/>
    <mergeCell ref="O264:Q264"/>
    <mergeCell ref="R264:T264"/>
    <mergeCell ref="B247:U247"/>
    <mergeCell ref="B251:F251"/>
    <mergeCell ref="G251:U251"/>
    <mergeCell ref="B252:F252"/>
    <mergeCell ref="G252:U252"/>
    <mergeCell ref="B253:F253"/>
    <mergeCell ref="G253:U253"/>
    <mergeCell ref="B254:F254"/>
    <mergeCell ref="G254:U254"/>
    <mergeCell ref="B255:F255"/>
    <mergeCell ref="G255:H255"/>
    <mergeCell ref="I255:L255"/>
    <mergeCell ref="N255:Q255"/>
    <mergeCell ref="R255:S255"/>
    <mergeCell ref="T255:U255"/>
    <mergeCell ref="B256:F256"/>
    <mergeCell ref="G256:H256"/>
    <mergeCell ref="I256:L256"/>
    <mergeCell ref="N256:Q256"/>
    <mergeCell ref="R256:U256"/>
    <mergeCell ref="B96:U102"/>
    <mergeCell ref="J105:O105"/>
    <mergeCell ref="R105:U105"/>
    <mergeCell ref="B116:G119"/>
    <mergeCell ref="J116:O119"/>
    <mergeCell ref="R116:U119"/>
    <mergeCell ref="B106:G106"/>
    <mergeCell ref="J106:O110"/>
    <mergeCell ref="R106:U110"/>
    <mergeCell ref="B107:G110"/>
    <mergeCell ref="J111:O111"/>
    <mergeCell ref="R111:U111"/>
    <mergeCell ref="J114:O114"/>
    <mergeCell ref="C115:F115"/>
    <mergeCell ref="J115:O115"/>
    <mergeCell ref="R115:U115"/>
    <mergeCell ref="B111:G111"/>
    <mergeCell ref="D92:E92"/>
    <mergeCell ref="F92:G92"/>
    <mergeCell ref="H92:I92"/>
    <mergeCell ref="J92:K92"/>
    <mergeCell ref="L92:M92"/>
    <mergeCell ref="D91:E91"/>
    <mergeCell ref="F91:G91"/>
    <mergeCell ref="H91:I91"/>
    <mergeCell ref="J91:K91"/>
    <mergeCell ref="L91:M91"/>
    <mergeCell ref="B92:C92"/>
    <mergeCell ref="N92:O92"/>
    <mergeCell ref="P92:Q92"/>
    <mergeCell ref="R92:S92"/>
    <mergeCell ref="T92:U92"/>
    <mergeCell ref="B95:D95"/>
    <mergeCell ref="E95:U95"/>
    <mergeCell ref="R91:S91"/>
    <mergeCell ref="T91:U91"/>
    <mergeCell ref="B20:U20"/>
    <mergeCell ref="B21:D24"/>
    <mergeCell ref="E21:F24"/>
    <mergeCell ref="G21:U21"/>
    <mergeCell ref="B25:D25"/>
    <mergeCell ref="E25:F25"/>
    <mergeCell ref="G25:H25"/>
    <mergeCell ref="I25:K25"/>
    <mergeCell ref="L25:N25"/>
    <mergeCell ref="O25:Q25"/>
    <mergeCell ref="B90:C90"/>
    <mergeCell ref="D90:E90"/>
    <mergeCell ref="F90:G90"/>
    <mergeCell ref="H90:I90"/>
    <mergeCell ref="J90:K90"/>
    <mergeCell ref="L90:M90"/>
    <mergeCell ref="R25:T25"/>
    <mergeCell ref="G22:H24"/>
    <mergeCell ref="I22:N22"/>
    <mergeCell ref="O22:U22"/>
    <mergeCell ref="I23:K24"/>
    <mergeCell ref="L23:N24"/>
    <mergeCell ref="O23:Q24"/>
    <mergeCell ref="R23:T24"/>
    <mergeCell ref="U23:U24"/>
    <mergeCell ref="R32:T32"/>
    <mergeCell ref="B33:D33"/>
    <mergeCell ref="E33:F33"/>
    <mergeCell ref="G33:H33"/>
    <mergeCell ref="I33:K33"/>
    <mergeCell ref="L33:N33"/>
    <mergeCell ref="O33:Q33"/>
    <mergeCell ref="B3:U3"/>
    <mergeCell ref="B8:U8"/>
    <mergeCell ref="B16:F16"/>
    <mergeCell ref="G16:H16"/>
    <mergeCell ref="I16:L16"/>
    <mergeCell ref="N16:Q16"/>
    <mergeCell ref="B17:F17"/>
    <mergeCell ref="B15:F15"/>
    <mergeCell ref="G15:U15"/>
    <mergeCell ref="R16:S16"/>
    <mergeCell ref="T16:U16"/>
    <mergeCell ref="G17:H17"/>
    <mergeCell ref="I17:L17"/>
    <mergeCell ref="N17:Q17"/>
    <mergeCell ref="R17:U17"/>
    <mergeCell ref="B12:F12"/>
    <mergeCell ref="G12:U12"/>
    <mergeCell ref="B13:F13"/>
    <mergeCell ref="G13:U13"/>
    <mergeCell ref="B14:F14"/>
    <mergeCell ref="G14:U14"/>
    <mergeCell ref="B18:F18"/>
    <mergeCell ref="G18:U18"/>
    <mergeCell ref="R28:T28"/>
    <mergeCell ref="B29:D29"/>
    <mergeCell ref="E29:F29"/>
    <mergeCell ref="G29:H29"/>
    <mergeCell ref="I29:K29"/>
    <mergeCell ref="L29:N29"/>
    <mergeCell ref="O29:Q29"/>
    <mergeCell ref="R29:T29"/>
    <mergeCell ref="B28:D28"/>
    <mergeCell ref="E28:F28"/>
    <mergeCell ref="G28:H28"/>
    <mergeCell ref="I28:K28"/>
    <mergeCell ref="L28:N28"/>
    <mergeCell ref="O28:Q28"/>
    <mergeCell ref="R26:T26"/>
    <mergeCell ref="B27:D27"/>
    <mergeCell ref="E27:F27"/>
    <mergeCell ref="G27:H27"/>
    <mergeCell ref="I27:K27"/>
    <mergeCell ref="L27:N27"/>
    <mergeCell ref="O27:Q27"/>
    <mergeCell ref="R27:T27"/>
    <mergeCell ref="B26:D26"/>
    <mergeCell ref="E26:F26"/>
    <mergeCell ref="G26:H26"/>
    <mergeCell ref="I26:K26"/>
    <mergeCell ref="L26:N26"/>
    <mergeCell ref="O26:Q26"/>
    <mergeCell ref="B19:F19"/>
    <mergeCell ref="G19:U19"/>
    <mergeCell ref="R33:T33"/>
    <mergeCell ref="B32:D32"/>
    <mergeCell ref="E32:F32"/>
    <mergeCell ref="G32:H32"/>
    <mergeCell ref="I32:K32"/>
    <mergeCell ref="L32:N32"/>
    <mergeCell ref="O32:Q32"/>
    <mergeCell ref="R30:T30"/>
    <mergeCell ref="B31:D31"/>
    <mergeCell ref="E31:F31"/>
    <mergeCell ref="G31:H31"/>
    <mergeCell ref="I31:K31"/>
    <mergeCell ref="L31:N31"/>
    <mergeCell ref="O31:Q31"/>
    <mergeCell ref="R31:T31"/>
    <mergeCell ref="B30:D30"/>
    <mergeCell ref="E30:F30"/>
    <mergeCell ref="G30:H30"/>
    <mergeCell ref="I30:K30"/>
    <mergeCell ref="L30:N30"/>
    <mergeCell ref="O30:Q30"/>
    <mergeCell ref="R36:T36"/>
    <mergeCell ref="B37:D37"/>
    <mergeCell ref="E37:F37"/>
    <mergeCell ref="G37:H37"/>
    <mergeCell ref="I37:K37"/>
    <mergeCell ref="L37:N37"/>
    <mergeCell ref="O37:Q37"/>
    <mergeCell ref="R37:T37"/>
    <mergeCell ref="B36:D36"/>
    <mergeCell ref="E36:F36"/>
    <mergeCell ref="G36:H36"/>
    <mergeCell ref="I36:K36"/>
    <mergeCell ref="L36:N36"/>
    <mergeCell ref="O36:Q36"/>
    <mergeCell ref="R34:T34"/>
    <mergeCell ref="B35:D35"/>
    <mergeCell ref="E35:F35"/>
    <mergeCell ref="G35:H35"/>
    <mergeCell ref="I35:K35"/>
    <mergeCell ref="L35:N35"/>
    <mergeCell ref="O35:Q35"/>
    <mergeCell ref="R35:T35"/>
    <mergeCell ref="B34:D34"/>
    <mergeCell ref="E34:F34"/>
    <mergeCell ref="G34:H34"/>
    <mergeCell ref="I34:K34"/>
    <mergeCell ref="L34:N34"/>
    <mergeCell ref="O34:Q34"/>
    <mergeCell ref="R40:T40"/>
    <mergeCell ref="B41:D41"/>
    <mergeCell ref="E41:F41"/>
    <mergeCell ref="G41:H41"/>
    <mergeCell ref="I41:K41"/>
    <mergeCell ref="L41:N41"/>
    <mergeCell ref="O41:Q41"/>
    <mergeCell ref="R41:T41"/>
    <mergeCell ref="B40:D40"/>
    <mergeCell ref="E40:F40"/>
    <mergeCell ref="G40:H40"/>
    <mergeCell ref="I40:K40"/>
    <mergeCell ref="L40:N40"/>
    <mergeCell ref="O40:Q40"/>
    <mergeCell ref="R38:T38"/>
    <mergeCell ref="B39:D39"/>
    <mergeCell ref="E39:F39"/>
    <mergeCell ref="G39:H39"/>
    <mergeCell ref="I39:K39"/>
    <mergeCell ref="L39:N39"/>
    <mergeCell ref="O39:Q39"/>
    <mergeCell ref="R39:T39"/>
    <mergeCell ref="B38:D38"/>
    <mergeCell ref="E38:F38"/>
    <mergeCell ref="G38:H38"/>
    <mergeCell ref="I38:K38"/>
    <mergeCell ref="L38:N38"/>
    <mergeCell ref="O38:Q38"/>
    <mergeCell ref="B44:F44"/>
    <mergeCell ref="G44:N44"/>
    <mergeCell ref="O44:U44"/>
    <mergeCell ref="B46:F49"/>
    <mergeCell ref="G46:U46"/>
    <mergeCell ref="G47:H49"/>
    <mergeCell ref="I47:N47"/>
    <mergeCell ref="O47:U47"/>
    <mergeCell ref="U48:U49"/>
    <mergeCell ref="R48:T48"/>
    <mergeCell ref="I48:K48"/>
    <mergeCell ref="L48:N48"/>
    <mergeCell ref="O48:Q48"/>
    <mergeCell ref="R42:T42"/>
    <mergeCell ref="B43:D43"/>
    <mergeCell ref="E43:F43"/>
    <mergeCell ref="G43:H43"/>
    <mergeCell ref="I43:K43"/>
    <mergeCell ref="L43:N43"/>
    <mergeCell ref="O43:Q43"/>
    <mergeCell ref="R43:T43"/>
    <mergeCell ref="B42:D42"/>
    <mergeCell ref="E42:F42"/>
    <mergeCell ref="G42:H42"/>
    <mergeCell ref="I42:K42"/>
    <mergeCell ref="L42:N42"/>
    <mergeCell ref="O42:Q42"/>
    <mergeCell ref="G58:H58"/>
    <mergeCell ref="G57:H57"/>
    <mergeCell ref="B57:F57"/>
    <mergeCell ref="B58:F58"/>
    <mergeCell ref="G60:H60"/>
    <mergeCell ref="G59:H59"/>
    <mergeCell ref="B59:F59"/>
    <mergeCell ref="B60:F60"/>
    <mergeCell ref="G62:H62"/>
    <mergeCell ref="G61:H61"/>
    <mergeCell ref="B61:F61"/>
    <mergeCell ref="B62:F62"/>
    <mergeCell ref="G51:H51"/>
    <mergeCell ref="B50:U50"/>
    <mergeCell ref="B51:F51"/>
    <mergeCell ref="G54:H54"/>
    <mergeCell ref="G52:H52"/>
    <mergeCell ref="B52:F52"/>
    <mergeCell ref="B54:F54"/>
    <mergeCell ref="G56:H56"/>
    <mergeCell ref="G55:H55"/>
    <mergeCell ref="B55:F55"/>
    <mergeCell ref="B56:F56"/>
    <mergeCell ref="G70:H70"/>
    <mergeCell ref="G69:H69"/>
    <mergeCell ref="B69:F69"/>
    <mergeCell ref="B70:F70"/>
    <mergeCell ref="G72:H72"/>
    <mergeCell ref="G71:H71"/>
    <mergeCell ref="B71:F71"/>
    <mergeCell ref="B72:F72"/>
    <mergeCell ref="G74:H74"/>
    <mergeCell ref="G73:H73"/>
    <mergeCell ref="B73:F73"/>
    <mergeCell ref="B74:F74"/>
    <mergeCell ref="G64:H64"/>
    <mergeCell ref="G63:H63"/>
    <mergeCell ref="B63:F63"/>
    <mergeCell ref="B64:F64"/>
    <mergeCell ref="G66:H66"/>
    <mergeCell ref="G65:H65"/>
    <mergeCell ref="B65:F65"/>
    <mergeCell ref="B66:F66"/>
    <mergeCell ref="G68:H68"/>
    <mergeCell ref="G67:H67"/>
    <mergeCell ref="B67:F67"/>
    <mergeCell ref="B68:F68"/>
    <mergeCell ref="G82:H82"/>
    <mergeCell ref="G81:H81"/>
    <mergeCell ref="B81:F81"/>
    <mergeCell ref="B82:F82"/>
    <mergeCell ref="G84:H84"/>
    <mergeCell ref="G83:H83"/>
    <mergeCell ref="B83:F83"/>
    <mergeCell ref="B84:F84"/>
    <mergeCell ref="G85:H85"/>
    <mergeCell ref="B85:F85"/>
    <mergeCell ref="G76:H76"/>
    <mergeCell ref="B75:U75"/>
    <mergeCell ref="B76:F76"/>
    <mergeCell ref="G78:H78"/>
    <mergeCell ref="G77:H77"/>
    <mergeCell ref="B77:F77"/>
    <mergeCell ref="B78:F78"/>
    <mergeCell ref="G80:H80"/>
    <mergeCell ref="G79:H79"/>
    <mergeCell ref="B79:F79"/>
    <mergeCell ref="B80:F80"/>
    <mergeCell ref="B127:U127"/>
    <mergeCell ref="B131:F131"/>
    <mergeCell ref="G131:U131"/>
    <mergeCell ref="B132:F132"/>
    <mergeCell ref="G132:U132"/>
    <mergeCell ref="B133:F133"/>
    <mergeCell ref="G133:U133"/>
    <mergeCell ref="B134:F134"/>
    <mergeCell ref="G134:U134"/>
    <mergeCell ref="B120:G120"/>
    <mergeCell ref="J120:O120"/>
    <mergeCell ref="R120:U120"/>
    <mergeCell ref="B87:U87"/>
    <mergeCell ref="B88:C89"/>
    <mergeCell ref="D88:I88"/>
    <mergeCell ref="J88:O88"/>
    <mergeCell ref="D89:E89"/>
    <mergeCell ref="F89:G89"/>
    <mergeCell ref="H89:I89"/>
    <mergeCell ref="J89:K89"/>
    <mergeCell ref="L89:M89"/>
    <mergeCell ref="N89:O89"/>
    <mergeCell ref="P89:Q89"/>
    <mergeCell ref="R89:S89"/>
    <mergeCell ref="T89:U89"/>
    <mergeCell ref="N90:O90"/>
    <mergeCell ref="P90:Q90"/>
    <mergeCell ref="R90:S90"/>
    <mergeCell ref="T90:U90"/>
    <mergeCell ref="B91:C91"/>
    <mergeCell ref="N91:O91"/>
    <mergeCell ref="P91:Q91"/>
    <mergeCell ref="B137:F137"/>
    <mergeCell ref="G137:U137"/>
    <mergeCell ref="B138:F138"/>
    <mergeCell ref="G138:U138"/>
    <mergeCell ref="B139:U139"/>
    <mergeCell ref="B140:D143"/>
    <mergeCell ref="E140:F143"/>
    <mergeCell ref="G140:U140"/>
    <mergeCell ref="G141:H143"/>
    <mergeCell ref="I141:N141"/>
    <mergeCell ref="O141:U141"/>
    <mergeCell ref="I142:K143"/>
    <mergeCell ref="L142:N143"/>
    <mergeCell ref="O142:Q143"/>
    <mergeCell ref="R142:T143"/>
    <mergeCell ref="U142:U143"/>
    <mergeCell ref="B135:F135"/>
    <mergeCell ref="G135:H135"/>
    <mergeCell ref="I135:L135"/>
    <mergeCell ref="N135:Q135"/>
    <mergeCell ref="R135:S135"/>
    <mergeCell ref="T135:U135"/>
    <mergeCell ref="B136:F136"/>
    <mergeCell ref="G136:H136"/>
    <mergeCell ref="I136:L136"/>
    <mergeCell ref="N136:Q136"/>
    <mergeCell ref="R136:U136"/>
    <mergeCell ref="B146:D146"/>
    <mergeCell ref="E146:F146"/>
    <mergeCell ref="G146:H146"/>
    <mergeCell ref="I146:K146"/>
    <mergeCell ref="L146:N146"/>
    <mergeCell ref="O146:Q146"/>
    <mergeCell ref="R146:T146"/>
    <mergeCell ref="B147:D147"/>
    <mergeCell ref="E147:F147"/>
    <mergeCell ref="G147:H147"/>
    <mergeCell ref="I147:K147"/>
    <mergeCell ref="L147:N147"/>
    <mergeCell ref="O147:Q147"/>
    <mergeCell ref="R147:T147"/>
    <mergeCell ref="B144:D144"/>
    <mergeCell ref="E144:F144"/>
    <mergeCell ref="G144:H144"/>
    <mergeCell ref="I144:K144"/>
    <mergeCell ref="L144:N144"/>
    <mergeCell ref="O144:Q144"/>
    <mergeCell ref="R144:T144"/>
    <mergeCell ref="B145:D145"/>
    <mergeCell ref="E145:F145"/>
    <mergeCell ref="G145:H145"/>
    <mergeCell ref="I145:K145"/>
    <mergeCell ref="L145:N145"/>
    <mergeCell ref="O145:Q145"/>
    <mergeCell ref="R145:T145"/>
    <mergeCell ref="B150:D150"/>
    <mergeCell ref="E150:F150"/>
    <mergeCell ref="G150:H150"/>
    <mergeCell ref="I150:K150"/>
    <mergeCell ref="L150:N150"/>
    <mergeCell ref="O150:Q150"/>
    <mergeCell ref="R150:T150"/>
    <mergeCell ref="B151:D151"/>
    <mergeCell ref="E151:F151"/>
    <mergeCell ref="G151:H151"/>
    <mergeCell ref="I151:K151"/>
    <mergeCell ref="L151:N151"/>
    <mergeCell ref="O151:Q151"/>
    <mergeCell ref="R151:T151"/>
    <mergeCell ref="B148:D148"/>
    <mergeCell ref="E148:F148"/>
    <mergeCell ref="G148:H148"/>
    <mergeCell ref="I148:K148"/>
    <mergeCell ref="L148:N148"/>
    <mergeCell ref="O148:Q148"/>
    <mergeCell ref="R148:T148"/>
    <mergeCell ref="B149:D149"/>
    <mergeCell ref="E149:F149"/>
    <mergeCell ref="G149:H149"/>
    <mergeCell ref="I149:K149"/>
    <mergeCell ref="L149:N149"/>
    <mergeCell ref="O149:Q149"/>
    <mergeCell ref="R149:T149"/>
    <mergeCell ref="B154:D154"/>
    <mergeCell ref="E154:F154"/>
    <mergeCell ref="G154:H154"/>
    <mergeCell ref="I154:K154"/>
    <mergeCell ref="L154:N154"/>
    <mergeCell ref="O154:Q154"/>
    <mergeCell ref="R154:T154"/>
    <mergeCell ref="B155:D155"/>
    <mergeCell ref="E155:F155"/>
    <mergeCell ref="G155:H155"/>
    <mergeCell ref="I155:K155"/>
    <mergeCell ref="L155:N155"/>
    <mergeCell ref="O155:Q155"/>
    <mergeCell ref="R155:T155"/>
    <mergeCell ref="B152:D152"/>
    <mergeCell ref="E152:F152"/>
    <mergeCell ref="G152:H152"/>
    <mergeCell ref="I152:K152"/>
    <mergeCell ref="L152:N152"/>
    <mergeCell ref="O152:Q152"/>
    <mergeCell ref="R152:T152"/>
    <mergeCell ref="B153:D153"/>
    <mergeCell ref="E153:F153"/>
    <mergeCell ref="G153:H153"/>
    <mergeCell ref="I153:K153"/>
    <mergeCell ref="L153:N153"/>
    <mergeCell ref="O153:Q153"/>
    <mergeCell ref="R153:T153"/>
    <mergeCell ref="B158:D158"/>
    <mergeCell ref="E158:F158"/>
    <mergeCell ref="G158:H158"/>
    <mergeCell ref="I158:K158"/>
    <mergeCell ref="L158:N158"/>
    <mergeCell ref="O158:Q158"/>
    <mergeCell ref="R158:T158"/>
    <mergeCell ref="B159:D159"/>
    <mergeCell ref="E159:F159"/>
    <mergeCell ref="G159:H159"/>
    <mergeCell ref="I159:K159"/>
    <mergeCell ref="L159:N159"/>
    <mergeCell ref="O159:Q159"/>
    <mergeCell ref="R159:T159"/>
    <mergeCell ref="B156:D156"/>
    <mergeCell ref="E156:F156"/>
    <mergeCell ref="G156:H156"/>
    <mergeCell ref="I156:K156"/>
    <mergeCell ref="L156:N156"/>
    <mergeCell ref="O156:Q156"/>
    <mergeCell ref="R156:T156"/>
    <mergeCell ref="B157:D157"/>
    <mergeCell ref="E157:F157"/>
    <mergeCell ref="G157:H157"/>
    <mergeCell ref="I157:K157"/>
    <mergeCell ref="L157:N157"/>
    <mergeCell ref="O157:Q157"/>
    <mergeCell ref="R157:T157"/>
    <mergeCell ref="B162:D162"/>
    <mergeCell ref="E162:F162"/>
    <mergeCell ref="G162:H162"/>
    <mergeCell ref="I162:K162"/>
    <mergeCell ref="L162:N162"/>
    <mergeCell ref="O162:Q162"/>
    <mergeCell ref="R162:T162"/>
    <mergeCell ref="B163:F163"/>
    <mergeCell ref="G163:N163"/>
    <mergeCell ref="O163:U163"/>
    <mergeCell ref="B160:D160"/>
    <mergeCell ref="E160:F160"/>
    <mergeCell ref="G160:H160"/>
    <mergeCell ref="I160:K160"/>
    <mergeCell ref="L160:N160"/>
    <mergeCell ref="O160:Q160"/>
    <mergeCell ref="R160:T160"/>
    <mergeCell ref="B161:D161"/>
    <mergeCell ref="E161:F161"/>
    <mergeCell ref="G161:H161"/>
    <mergeCell ref="I161:K161"/>
    <mergeCell ref="L161:N161"/>
    <mergeCell ref="O161:Q161"/>
    <mergeCell ref="R161:T161"/>
    <mergeCell ref="B169:U169"/>
    <mergeCell ref="B170:F170"/>
    <mergeCell ref="G170:H170"/>
    <mergeCell ref="B171:F171"/>
    <mergeCell ref="G171:H171"/>
    <mergeCell ref="B173:F173"/>
    <mergeCell ref="G173:H173"/>
    <mergeCell ref="B174:F174"/>
    <mergeCell ref="G174:H174"/>
    <mergeCell ref="B165:F168"/>
    <mergeCell ref="G165:U165"/>
    <mergeCell ref="G166:H168"/>
    <mergeCell ref="I166:N166"/>
    <mergeCell ref="O166:U166"/>
    <mergeCell ref="I167:K167"/>
    <mergeCell ref="L167:N167"/>
    <mergeCell ref="O167:Q167"/>
    <mergeCell ref="R167:T167"/>
    <mergeCell ref="U167:U168"/>
    <mergeCell ref="B180:F180"/>
    <mergeCell ref="G180:H180"/>
    <mergeCell ref="B181:F181"/>
    <mergeCell ref="G181:H181"/>
    <mergeCell ref="B182:F182"/>
    <mergeCell ref="G182:H182"/>
    <mergeCell ref="B183:F183"/>
    <mergeCell ref="G183:H183"/>
    <mergeCell ref="B184:F184"/>
    <mergeCell ref="G184:H184"/>
    <mergeCell ref="B175:F175"/>
    <mergeCell ref="G175:H175"/>
    <mergeCell ref="B176:F176"/>
    <mergeCell ref="G176:H176"/>
    <mergeCell ref="B177:F177"/>
    <mergeCell ref="G177:H177"/>
    <mergeCell ref="B178:F178"/>
    <mergeCell ref="G178:H178"/>
    <mergeCell ref="B179:F179"/>
    <mergeCell ref="G179:H179"/>
    <mergeCell ref="B190:F190"/>
    <mergeCell ref="G190:H190"/>
    <mergeCell ref="B191:F191"/>
    <mergeCell ref="G191:H191"/>
    <mergeCell ref="B192:F192"/>
    <mergeCell ref="G192:H192"/>
    <mergeCell ref="B193:F193"/>
    <mergeCell ref="G193:H193"/>
    <mergeCell ref="B194:U194"/>
    <mergeCell ref="B185:F185"/>
    <mergeCell ref="G185:H185"/>
    <mergeCell ref="B186:F186"/>
    <mergeCell ref="G186:H186"/>
    <mergeCell ref="B187:F187"/>
    <mergeCell ref="G187:H187"/>
    <mergeCell ref="B188:F188"/>
    <mergeCell ref="G188:H188"/>
    <mergeCell ref="B189:F189"/>
    <mergeCell ref="G189:H189"/>
    <mergeCell ref="B200:F200"/>
    <mergeCell ref="G200:H200"/>
    <mergeCell ref="B201:F201"/>
    <mergeCell ref="G201:H201"/>
    <mergeCell ref="B202:F202"/>
    <mergeCell ref="G202:H202"/>
    <mergeCell ref="B203:F203"/>
    <mergeCell ref="G203:H203"/>
    <mergeCell ref="B204:F204"/>
    <mergeCell ref="G204:H204"/>
    <mergeCell ref="B195:F195"/>
    <mergeCell ref="G195:H195"/>
    <mergeCell ref="B196:F196"/>
    <mergeCell ref="G196:H196"/>
    <mergeCell ref="B197:F197"/>
    <mergeCell ref="G197:H197"/>
    <mergeCell ref="B198:F198"/>
    <mergeCell ref="G198:H198"/>
    <mergeCell ref="B199:F199"/>
    <mergeCell ref="G199:H199"/>
    <mergeCell ref="B209:C209"/>
    <mergeCell ref="D209:E209"/>
    <mergeCell ref="F209:G209"/>
    <mergeCell ref="H209:I209"/>
    <mergeCell ref="J209:K209"/>
    <mergeCell ref="L209:M209"/>
    <mergeCell ref="N209:O209"/>
    <mergeCell ref="P209:Q209"/>
    <mergeCell ref="R209:S209"/>
    <mergeCell ref="B206:U206"/>
    <mergeCell ref="B207:C208"/>
    <mergeCell ref="D207:I207"/>
    <mergeCell ref="J207:O207"/>
    <mergeCell ref="D208:E208"/>
    <mergeCell ref="F208:G208"/>
    <mergeCell ref="H208:I208"/>
    <mergeCell ref="J208:K208"/>
    <mergeCell ref="L208:M208"/>
    <mergeCell ref="N208:O208"/>
    <mergeCell ref="P208:Q208"/>
    <mergeCell ref="R208:S208"/>
    <mergeCell ref="T208:U208"/>
    <mergeCell ref="P88:U88"/>
    <mergeCell ref="B53:F53"/>
    <mergeCell ref="G53:H53"/>
    <mergeCell ref="P207:U207"/>
    <mergeCell ref="B172:F172"/>
    <mergeCell ref="G172:H172"/>
    <mergeCell ref="B239:G239"/>
    <mergeCell ref="J239:O239"/>
    <mergeCell ref="R239:U239"/>
    <mergeCell ref="B123:U123"/>
    <mergeCell ref="B230:G230"/>
    <mergeCell ref="J230:O230"/>
    <mergeCell ref="R230:U230"/>
    <mergeCell ref="J233:O233"/>
    <mergeCell ref="C234:F234"/>
    <mergeCell ref="J234:O234"/>
    <mergeCell ref="R234:U234"/>
    <mergeCell ref="B235:G238"/>
    <mergeCell ref="J235:O238"/>
    <mergeCell ref="R235:U238"/>
    <mergeCell ref="T211:U211"/>
    <mergeCell ref="B214:D214"/>
    <mergeCell ref="E214:U214"/>
    <mergeCell ref="B215:U221"/>
    <mergeCell ref="L211:M211"/>
    <mergeCell ref="N211:O211"/>
    <mergeCell ref="P211:Q211"/>
    <mergeCell ref="R211:S211"/>
    <mergeCell ref="B224:G224"/>
    <mergeCell ref="T209:U209"/>
    <mergeCell ref="B210:C210"/>
    <mergeCell ref="D210:E210"/>
    <mergeCell ref="B231:G231"/>
    <mergeCell ref="J231:O231"/>
    <mergeCell ref="R231:U231"/>
    <mergeCell ref="B240:G240"/>
    <mergeCell ref="J240:O240"/>
    <mergeCell ref="R240:U240"/>
    <mergeCell ref="B105:G105"/>
    <mergeCell ref="B112:G112"/>
    <mergeCell ref="J112:O112"/>
    <mergeCell ref="R112:U112"/>
    <mergeCell ref="B121:G121"/>
    <mergeCell ref="J121:O121"/>
    <mergeCell ref="R121:U121"/>
    <mergeCell ref="J224:O224"/>
    <mergeCell ref="R224:U224"/>
    <mergeCell ref="B225:G225"/>
    <mergeCell ref="J225:O229"/>
    <mergeCell ref="R225:U229"/>
    <mergeCell ref="B226:G229"/>
    <mergeCell ref="B211:C211"/>
    <mergeCell ref="D211:E211"/>
    <mergeCell ref="F211:G211"/>
    <mergeCell ref="H211:I211"/>
    <mergeCell ref="J211:K211"/>
    <mergeCell ref="F210:G210"/>
    <mergeCell ref="H210:I210"/>
    <mergeCell ref="J210:K210"/>
    <mergeCell ref="L210:M210"/>
    <mergeCell ref="N210:O210"/>
    <mergeCell ref="P210:Q210"/>
    <mergeCell ref="R210:S210"/>
    <mergeCell ref="T210:U210"/>
    <mergeCell ref="B376:F376"/>
    <mergeCell ref="G376:H376"/>
    <mergeCell ref="I376:L376"/>
    <mergeCell ref="N376:Q376"/>
    <mergeCell ref="R376:S376"/>
    <mergeCell ref="T376:U376"/>
    <mergeCell ref="B377:F377"/>
    <mergeCell ref="G377:H377"/>
    <mergeCell ref="I377:L377"/>
    <mergeCell ref="N377:Q377"/>
    <mergeCell ref="R377:U377"/>
    <mergeCell ref="B363:U363"/>
    <mergeCell ref="B368:U368"/>
    <mergeCell ref="B372:F372"/>
    <mergeCell ref="G372:U372"/>
    <mergeCell ref="B373:F373"/>
    <mergeCell ref="G373:U373"/>
    <mergeCell ref="B374:F374"/>
    <mergeCell ref="G374:U374"/>
    <mergeCell ref="B375:F375"/>
    <mergeCell ref="G375:U375"/>
    <mergeCell ref="B385:D385"/>
    <mergeCell ref="E385:F385"/>
    <mergeCell ref="G385:H385"/>
    <mergeCell ref="I385:K385"/>
    <mergeCell ref="L385:N385"/>
    <mergeCell ref="O385:Q385"/>
    <mergeCell ref="R385:T385"/>
    <mergeCell ref="B386:D386"/>
    <mergeCell ref="E386:F386"/>
    <mergeCell ref="G386:H386"/>
    <mergeCell ref="I386:K386"/>
    <mergeCell ref="L386:N386"/>
    <mergeCell ref="O386:Q386"/>
    <mergeCell ref="R386:T386"/>
    <mergeCell ref="B378:F378"/>
    <mergeCell ref="G378:U378"/>
    <mergeCell ref="B379:F379"/>
    <mergeCell ref="G379:U379"/>
    <mergeCell ref="B380:U380"/>
    <mergeCell ref="B381:D384"/>
    <mergeCell ref="E381:F384"/>
    <mergeCell ref="G381:U381"/>
    <mergeCell ref="G382:H384"/>
    <mergeCell ref="I382:N382"/>
    <mergeCell ref="O382:U382"/>
    <mergeCell ref="I383:K384"/>
    <mergeCell ref="L383:N384"/>
    <mergeCell ref="O383:Q384"/>
    <mergeCell ref="R383:T384"/>
    <mergeCell ref="U383:U384"/>
    <mergeCell ref="B389:D389"/>
    <mergeCell ref="E389:F389"/>
    <mergeCell ref="G389:H389"/>
    <mergeCell ref="I389:K389"/>
    <mergeCell ref="L389:N389"/>
    <mergeCell ref="O389:Q389"/>
    <mergeCell ref="R389:T389"/>
    <mergeCell ref="B390:D390"/>
    <mergeCell ref="E390:F390"/>
    <mergeCell ref="G390:H390"/>
    <mergeCell ref="I390:K390"/>
    <mergeCell ref="L390:N390"/>
    <mergeCell ref="O390:Q390"/>
    <mergeCell ref="R390:T390"/>
    <mergeCell ref="B387:D387"/>
    <mergeCell ref="E387:F387"/>
    <mergeCell ref="G387:H387"/>
    <mergeCell ref="I387:K387"/>
    <mergeCell ref="L387:N387"/>
    <mergeCell ref="O387:Q387"/>
    <mergeCell ref="R387:T387"/>
    <mergeCell ref="B388:D388"/>
    <mergeCell ref="E388:F388"/>
    <mergeCell ref="G388:H388"/>
    <mergeCell ref="I388:K388"/>
    <mergeCell ref="L388:N388"/>
    <mergeCell ref="O388:Q388"/>
    <mergeCell ref="R388:T388"/>
    <mergeCell ref="B393:D393"/>
    <mergeCell ref="E393:F393"/>
    <mergeCell ref="G393:H393"/>
    <mergeCell ref="I393:K393"/>
    <mergeCell ref="L393:N393"/>
    <mergeCell ref="O393:Q393"/>
    <mergeCell ref="R393:T393"/>
    <mergeCell ref="B394:D394"/>
    <mergeCell ref="E394:F394"/>
    <mergeCell ref="G394:H394"/>
    <mergeCell ref="I394:K394"/>
    <mergeCell ref="L394:N394"/>
    <mergeCell ref="O394:Q394"/>
    <mergeCell ref="R394:T394"/>
    <mergeCell ref="B391:D391"/>
    <mergeCell ref="E391:F391"/>
    <mergeCell ref="G391:H391"/>
    <mergeCell ref="I391:K391"/>
    <mergeCell ref="L391:N391"/>
    <mergeCell ref="O391:Q391"/>
    <mergeCell ref="R391:T391"/>
    <mergeCell ref="B392:D392"/>
    <mergeCell ref="E392:F392"/>
    <mergeCell ref="G392:H392"/>
    <mergeCell ref="I392:K392"/>
    <mergeCell ref="L392:N392"/>
    <mergeCell ref="O392:Q392"/>
    <mergeCell ref="R392:T392"/>
    <mergeCell ref="B397:D397"/>
    <mergeCell ref="E397:F397"/>
    <mergeCell ref="G397:H397"/>
    <mergeCell ref="I397:K397"/>
    <mergeCell ref="L397:N397"/>
    <mergeCell ref="O397:Q397"/>
    <mergeCell ref="R397:T397"/>
    <mergeCell ref="B398:D398"/>
    <mergeCell ref="E398:F398"/>
    <mergeCell ref="G398:H398"/>
    <mergeCell ref="I398:K398"/>
    <mergeCell ref="L398:N398"/>
    <mergeCell ref="O398:Q398"/>
    <mergeCell ref="R398:T398"/>
    <mergeCell ref="B395:D395"/>
    <mergeCell ref="E395:F395"/>
    <mergeCell ref="G395:H395"/>
    <mergeCell ref="I395:K395"/>
    <mergeCell ref="L395:N395"/>
    <mergeCell ref="O395:Q395"/>
    <mergeCell ref="R395:T395"/>
    <mergeCell ref="B396:D396"/>
    <mergeCell ref="E396:F396"/>
    <mergeCell ref="G396:H396"/>
    <mergeCell ref="I396:K396"/>
    <mergeCell ref="L396:N396"/>
    <mergeCell ref="O396:Q396"/>
    <mergeCell ref="R396:T396"/>
    <mergeCell ref="B401:D401"/>
    <mergeCell ref="E401:F401"/>
    <mergeCell ref="G401:H401"/>
    <mergeCell ref="I401:K401"/>
    <mergeCell ref="L401:N401"/>
    <mergeCell ref="O401:Q401"/>
    <mergeCell ref="R401:T401"/>
    <mergeCell ref="B402:D402"/>
    <mergeCell ref="E402:F402"/>
    <mergeCell ref="G402:H402"/>
    <mergeCell ref="I402:K402"/>
    <mergeCell ref="L402:N402"/>
    <mergeCell ref="O402:Q402"/>
    <mergeCell ref="R402:T402"/>
    <mergeCell ref="B399:D399"/>
    <mergeCell ref="E399:F399"/>
    <mergeCell ref="G399:H399"/>
    <mergeCell ref="I399:K399"/>
    <mergeCell ref="L399:N399"/>
    <mergeCell ref="O399:Q399"/>
    <mergeCell ref="R399:T399"/>
    <mergeCell ref="B400:D400"/>
    <mergeCell ref="E400:F400"/>
    <mergeCell ref="G400:H400"/>
    <mergeCell ref="I400:K400"/>
    <mergeCell ref="L400:N400"/>
    <mergeCell ref="O400:Q400"/>
    <mergeCell ref="R400:T400"/>
    <mergeCell ref="G419:H419"/>
    <mergeCell ref="B406:F409"/>
    <mergeCell ref="G406:U406"/>
    <mergeCell ref="G407:H409"/>
    <mergeCell ref="I407:N407"/>
    <mergeCell ref="O407:U407"/>
    <mergeCell ref="I408:K408"/>
    <mergeCell ref="L408:N408"/>
    <mergeCell ref="O408:Q408"/>
    <mergeCell ref="R408:T408"/>
    <mergeCell ref="U408:U409"/>
    <mergeCell ref="B403:D403"/>
    <mergeCell ref="E403:F403"/>
    <mergeCell ref="G403:H403"/>
    <mergeCell ref="I403:K403"/>
    <mergeCell ref="L403:N403"/>
    <mergeCell ref="O403:Q403"/>
    <mergeCell ref="R403:T403"/>
    <mergeCell ref="B404:F404"/>
    <mergeCell ref="G404:N404"/>
    <mergeCell ref="O404:U404"/>
    <mergeCell ref="B422:F422"/>
    <mergeCell ref="G422:H422"/>
    <mergeCell ref="B423:F423"/>
    <mergeCell ref="G423:H423"/>
    <mergeCell ref="B424:F424"/>
    <mergeCell ref="G424:H424"/>
    <mergeCell ref="B425:F425"/>
    <mergeCell ref="G425:H425"/>
    <mergeCell ref="B426:F426"/>
    <mergeCell ref="G426:H426"/>
    <mergeCell ref="B410:U410"/>
    <mergeCell ref="B411:F411"/>
    <mergeCell ref="G411:H411"/>
    <mergeCell ref="B412:F412"/>
    <mergeCell ref="G412:H412"/>
    <mergeCell ref="B420:F420"/>
    <mergeCell ref="G420:H420"/>
    <mergeCell ref="B421:F421"/>
    <mergeCell ref="G421:H421"/>
    <mergeCell ref="B413:F413"/>
    <mergeCell ref="G413:H413"/>
    <mergeCell ref="B414:F414"/>
    <mergeCell ref="G414:H414"/>
    <mergeCell ref="B415:F415"/>
    <mergeCell ref="G415:H415"/>
    <mergeCell ref="B416:F416"/>
    <mergeCell ref="G416:H416"/>
    <mergeCell ref="B417:F417"/>
    <mergeCell ref="G417:H417"/>
    <mergeCell ref="B418:F418"/>
    <mergeCell ref="G418:H418"/>
    <mergeCell ref="B419:F419"/>
    <mergeCell ref="B432:F432"/>
    <mergeCell ref="G432:H432"/>
    <mergeCell ref="B433:F433"/>
    <mergeCell ref="G433:H433"/>
    <mergeCell ref="B434:F434"/>
    <mergeCell ref="G434:H434"/>
    <mergeCell ref="B435:F435"/>
    <mergeCell ref="G435:H435"/>
    <mergeCell ref="B436:F436"/>
    <mergeCell ref="G436:H436"/>
    <mergeCell ref="B427:F427"/>
    <mergeCell ref="G427:H427"/>
    <mergeCell ref="B428:F428"/>
    <mergeCell ref="G428:H428"/>
    <mergeCell ref="B429:F429"/>
    <mergeCell ref="G429:H429"/>
    <mergeCell ref="B430:F430"/>
    <mergeCell ref="G430:H430"/>
    <mergeCell ref="B431:F431"/>
    <mergeCell ref="G431:H431"/>
    <mergeCell ref="B442:U442"/>
    <mergeCell ref="B443:F443"/>
    <mergeCell ref="G443:H443"/>
    <mergeCell ref="B444:F444"/>
    <mergeCell ref="G444:H444"/>
    <mergeCell ref="B445:F445"/>
    <mergeCell ref="G445:H445"/>
    <mergeCell ref="B446:F446"/>
    <mergeCell ref="G446:H446"/>
    <mergeCell ref="B437:F437"/>
    <mergeCell ref="G437:H437"/>
    <mergeCell ref="B438:F438"/>
    <mergeCell ref="G438:H438"/>
    <mergeCell ref="B439:F439"/>
    <mergeCell ref="G439:H439"/>
    <mergeCell ref="B440:F440"/>
    <mergeCell ref="G440:H440"/>
    <mergeCell ref="B441:F441"/>
    <mergeCell ref="G441:H441"/>
    <mergeCell ref="B452:F452"/>
    <mergeCell ref="G452:H452"/>
    <mergeCell ref="B454:U454"/>
    <mergeCell ref="B455:C456"/>
    <mergeCell ref="D455:I455"/>
    <mergeCell ref="J455:O455"/>
    <mergeCell ref="P455:U455"/>
    <mergeCell ref="D456:E456"/>
    <mergeCell ref="F456:G456"/>
    <mergeCell ref="H456:I456"/>
    <mergeCell ref="J456:K456"/>
    <mergeCell ref="L456:M456"/>
    <mergeCell ref="N456:O456"/>
    <mergeCell ref="P456:Q456"/>
    <mergeCell ref="R456:S456"/>
    <mergeCell ref="T456:U456"/>
    <mergeCell ref="B447:F447"/>
    <mergeCell ref="G447:H447"/>
    <mergeCell ref="B448:F448"/>
    <mergeCell ref="G448:H448"/>
    <mergeCell ref="B449:F449"/>
    <mergeCell ref="G449:H449"/>
    <mergeCell ref="B450:F450"/>
    <mergeCell ref="G450:H450"/>
    <mergeCell ref="B451:F451"/>
    <mergeCell ref="G451:H451"/>
    <mergeCell ref="T457:U457"/>
    <mergeCell ref="B458:C458"/>
    <mergeCell ref="D458:E458"/>
    <mergeCell ref="F458:G458"/>
    <mergeCell ref="H458:I458"/>
    <mergeCell ref="J458:K458"/>
    <mergeCell ref="L458:M458"/>
    <mergeCell ref="N458:O458"/>
    <mergeCell ref="P458:Q458"/>
    <mergeCell ref="R458:S458"/>
    <mergeCell ref="T458:U458"/>
    <mergeCell ref="B457:C457"/>
    <mergeCell ref="D457:E457"/>
    <mergeCell ref="F457:G457"/>
    <mergeCell ref="H457:I457"/>
    <mergeCell ref="J457:K457"/>
    <mergeCell ref="L457:M457"/>
    <mergeCell ref="N457:O457"/>
    <mergeCell ref="P457:Q457"/>
    <mergeCell ref="R457:S457"/>
    <mergeCell ref="T459:U459"/>
    <mergeCell ref="B462:D462"/>
    <mergeCell ref="E462:U462"/>
    <mergeCell ref="B472:G472"/>
    <mergeCell ref="J472:O472"/>
    <mergeCell ref="R472:U472"/>
    <mergeCell ref="B473:G473"/>
    <mergeCell ref="J473:O477"/>
    <mergeCell ref="R473:U477"/>
    <mergeCell ref="B474:G477"/>
    <mergeCell ref="B463:U465"/>
    <mergeCell ref="B466:U469"/>
    <mergeCell ref="B459:C459"/>
    <mergeCell ref="D459:E459"/>
    <mergeCell ref="F459:G459"/>
    <mergeCell ref="H459:I459"/>
    <mergeCell ref="J459:K459"/>
    <mergeCell ref="L459:M459"/>
    <mergeCell ref="N459:O459"/>
    <mergeCell ref="P459:Q459"/>
    <mergeCell ref="R459:S459"/>
    <mergeCell ref="B483:G486"/>
    <mergeCell ref="J483:O486"/>
    <mergeCell ref="R483:U486"/>
    <mergeCell ref="B487:G487"/>
    <mergeCell ref="J487:O487"/>
    <mergeCell ref="R487:U487"/>
    <mergeCell ref="B488:G488"/>
    <mergeCell ref="J488:O488"/>
    <mergeCell ref="R488:U488"/>
    <mergeCell ref="B478:G478"/>
    <mergeCell ref="J478:O478"/>
    <mergeCell ref="R478:U478"/>
    <mergeCell ref="B479:G479"/>
    <mergeCell ref="J479:O479"/>
    <mergeCell ref="R479:U479"/>
    <mergeCell ref="J481:O481"/>
    <mergeCell ref="C482:F482"/>
    <mergeCell ref="J482:O482"/>
    <mergeCell ref="R482:U482"/>
    <mergeCell ref="V408:W409"/>
    <mergeCell ref="X408:Y409"/>
    <mergeCell ref="Z408:AA409"/>
    <mergeCell ref="AB408:AC409"/>
    <mergeCell ref="AD408:AE409"/>
    <mergeCell ref="V383:W384"/>
    <mergeCell ref="X383:Y384"/>
    <mergeCell ref="Z383:AA384"/>
    <mergeCell ref="AB383:AC384"/>
    <mergeCell ref="AD383:AE384"/>
    <mergeCell ref="V143:W144"/>
    <mergeCell ref="X143:Y144"/>
    <mergeCell ref="Z143:AA144"/>
    <mergeCell ref="AB143:AC144"/>
    <mergeCell ref="AD143:AE144"/>
    <mergeCell ref="V167:W168"/>
    <mergeCell ref="X167:Y168"/>
    <mergeCell ref="Z167:AA168"/>
    <mergeCell ref="AB167:AC168"/>
    <mergeCell ref="AD167:AE168"/>
    <mergeCell ref="V262:W263"/>
    <mergeCell ref="X262:Y263"/>
    <mergeCell ref="Z262:AA263"/>
    <mergeCell ref="AB262:AC263"/>
    <mergeCell ref="AD262:AE263"/>
    <mergeCell ref="V287:W288"/>
    <mergeCell ref="X287:Y288"/>
    <mergeCell ref="Z287:AA288"/>
    <mergeCell ref="AB287:AC288"/>
    <mergeCell ref="AD287:AE288"/>
  </mergeCells>
  <printOptions horizontalCentered="1" verticalCentered="1"/>
  <pageMargins left="0" right="0" top="0" bottom="0" header="0.31496062992126" footer="0.31496062992126"/>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459"/>
  <sheetViews>
    <sheetView showGridLines="0" topLeftCell="A1422" zoomScale="90" zoomScaleNormal="90" workbookViewId="0">
      <selection activeCell="N1337" sqref="B1337:U1459"/>
    </sheetView>
  </sheetViews>
  <sheetFormatPr baseColWidth="10" defaultRowHeight="15"/>
  <cols>
    <col min="9" max="9" width="12.28515625" bestFit="1" customWidth="1"/>
    <col min="11" max="11" width="12.28515625" bestFit="1" customWidth="1"/>
    <col min="14" max="14" width="12.28515625" bestFit="1" customWidth="1"/>
    <col min="15" max="15" width="14.42578125" bestFit="1" customWidth="1"/>
    <col min="21" max="21" width="15.7109375" customWidth="1"/>
  </cols>
  <sheetData>
    <row r="2" spans="1:21" ht="15" customHeight="1"/>
    <row r="3" spans="1:21" ht="15" customHeight="1">
      <c r="F3" s="1"/>
      <c r="G3" s="1"/>
      <c r="H3" s="1"/>
      <c r="I3" s="1"/>
      <c r="J3" s="1"/>
      <c r="K3" s="1"/>
      <c r="L3" s="1"/>
      <c r="M3" s="1"/>
      <c r="N3" s="1"/>
      <c r="O3" s="1"/>
    </row>
    <row r="4" spans="1:21" ht="15" customHeight="1">
      <c r="B4" s="427" t="s">
        <v>125</v>
      </c>
      <c r="C4" s="427"/>
      <c r="D4" s="427"/>
      <c r="E4" s="427"/>
      <c r="F4" s="427"/>
      <c r="G4" s="427"/>
      <c r="H4" s="427"/>
      <c r="I4" s="427"/>
      <c r="J4" s="427"/>
      <c r="K4" s="427"/>
      <c r="L4" s="427"/>
      <c r="M4" s="427"/>
      <c r="N4" s="427"/>
      <c r="O4" s="427"/>
      <c r="P4" s="427"/>
      <c r="Q4" s="427"/>
      <c r="R4" s="427"/>
      <c r="S4" s="427"/>
      <c r="T4" s="427"/>
      <c r="U4" s="427"/>
    </row>
    <row r="5" spans="1:21" ht="15" customHeight="1">
      <c r="F5" t="s">
        <v>0</v>
      </c>
    </row>
    <row r="6" spans="1:21" ht="15" customHeight="1">
      <c r="B6" s="2"/>
      <c r="C6" s="2"/>
      <c r="D6" s="2"/>
      <c r="E6" s="2"/>
      <c r="F6" s="2"/>
      <c r="G6" s="2"/>
      <c r="H6" s="2"/>
      <c r="I6" s="2"/>
      <c r="J6" s="2"/>
      <c r="K6" s="2"/>
      <c r="L6" s="2"/>
      <c r="M6" s="2"/>
      <c r="N6" s="2"/>
      <c r="O6" s="2"/>
      <c r="P6" s="2"/>
      <c r="Q6" s="2"/>
      <c r="R6" s="2"/>
      <c r="S6" s="2"/>
      <c r="T6" s="2"/>
      <c r="U6" s="2"/>
    </row>
    <row r="7" spans="1:21" ht="15" customHeight="1" thickBot="1">
      <c r="B7" s="3"/>
      <c r="C7" s="3"/>
      <c r="D7" s="3"/>
      <c r="E7" s="3"/>
      <c r="F7" s="3"/>
      <c r="G7" s="3"/>
      <c r="H7" s="3"/>
      <c r="I7" s="3"/>
      <c r="J7" s="3"/>
      <c r="K7" s="3"/>
      <c r="L7" s="3"/>
      <c r="M7" s="3"/>
      <c r="N7" s="3"/>
      <c r="O7" s="3"/>
      <c r="P7" s="3"/>
      <c r="Q7" s="3"/>
      <c r="R7" s="3"/>
      <c r="S7" s="3"/>
      <c r="T7" s="3"/>
      <c r="U7" s="3"/>
    </row>
    <row r="8" spans="1:21" ht="15" customHeight="1">
      <c r="B8" s="385" t="s">
        <v>1</v>
      </c>
      <c r="C8" s="386"/>
      <c r="D8" s="386"/>
      <c r="E8" s="386"/>
      <c r="F8" s="387"/>
      <c r="G8" s="428" t="s">
        <v>164</v>
      </c>
      <c r="H8" s="429"/>
      <c r="I8" s="429"/>
      <c r="J8" s="429"/>
      <c r="K8" s="429"/>
      <c r="L8" s="429"/>
      <c r="M8" s="429"/>
      <c r="N8" s="429"/>
      <c r="O8" s="429"/>
      <c r="P8" s="429"/>
      <c r="Q8" s="429"/>
      <c r="R8" s="429"/>
      <c r="S8" s="429"/>
      <c r="T8" s="429"/>
      <c r="U8" s="430"/>
    </row>
    <row r="9" spans="1:21">
      <c r="A9" s="4"/>
      <c r="B9" s="431" t="s">
        <v>2</v>
      </c>
      <c r="C9" s="432"/>
      <c r="D9" s="432"/>
      <c r="E9" s="432"/>
      <c r="F9" s="433"/>
      <c r="G9" s="434" t="s">
        <v>163</v>
      </c>
      <c r="H9" s="435"/>
      <c r="I9" s="435"/>
      <c r="J9" s="435"/>
      <c r="K9" s="435"/>
      <c r="L9" s="435"/>
      <c r="M9" s="435"/>
      <c r="N9" s="435"/>
      <c r="O9" s="435"/>
      <c r="P9" s="435"/>
      <c r="Q9" s="435"/>
      <c r="R9" s="435"/>
      <c r="S9" s="435"/>
      <c r="T9" s="435"/>
      <c r="U9" s="436"/>
    </row>
    <row r="10" spans="1:21">
      <c r="A10" s="4"/>
      <c r="B10" s="385" t="s">
        <v>3</v>
      </c>
      <c r="C10" s="386"/>
      <c r="D10" s="386"/>
      <c r="E10" s="386"/>
      <c r="F10" s="387"/>
      <c r="G10" s="437" t="s">
        <v>156</v>
      </c>
      <c r="H10" s="438"/>
      <c r="I10" s="438"/>
      <c r="J10" s="438"/>
      <c r="K10" s="438"/>
      <c r="L10" s="438"/>
      <c r="M10" s="438"/>
      <c r="N10" s="438"/>
      <c r="O10" s="438"/>
      <c r="P10" s="438"/>
      <c r="Q10" s="438"/>
      <c r="R10" s="438"/>
      <c r="S10" s="438"/>
      <c r="T10" s="438"/>
      <c r="U10" s="439"/>
    </row>
    <row r="11" spans="1:21" ht="15" customHeight="1">
      <c r="A11" s="4"/>
      <c r="B11" s="385" t="s">
        <v>4</v>
      </c>
      <c r="C11" s="386"/>
      <c r="D11" s="386"/>
      <c r="E11" s="386"/>
      <c r="F11" s="387"/>
      <c r="G11" s="440" t="s">
        <v>54</v>
      </c>
      <c r="H11" s="441"/>
      <c r="I11" s="441"/>
      <c r="J11" s="441"/>
      <c r="K11" s="441"/>
      <c r="L11" s="441"/>
      <c r="M11" s="441"/>
      <c r="N11" s="441"/>
      <c r="O11" s="441"/>
      <c r="P11" s="441"/>
      <c r="Q11" s="441"/>
      <c r="R11" s="441"/>
      <c r="S11" s="441"/>
      <c r="T11" s="441"/>
      <c r="U11" s="442"/>
    </row>
    <row r="12" spans="1:21" ht="15" customHeight="1">
      <c r="A12" s="4"/>
      <c r="B12" s="385" t="s">
        <v>5</v>
      </c>
      <c r="C12" s="386"/>
      <c r="D12" s="386"/>
      <c r="E12" s="386"/>
      <c r="F12" s="387"/>
      <c r="G12" s="410" t="s">
        <v>6</v>
      </c>
      <c r="H12" s="411"/>
      <c r="I12" s="412">
        <v>779836</v>
      </c>
      <c r="J12" s="413"/>
      <c r="K12" s="413"/>
      <c r="L12" s="414"/>
      <c r="M12" s="5" t="s">
        <v>7</v>
      </c>
      <c r="N12" s="412">
        <v>0</v>
      </c>
      <c r="O12" s="413"/>
      <c r="P12" s="413"/>
      <c r="Q12" s="414"/>
      <c r="R12" s="415" t="s">
        <v>8</v>
      </c>
      <c r="S12" s="416"/>
      <c r="T12" s="412">
        <v>0</v>
      </c>
      <c r="U12" s="417"/>
    </row>
    <row r="13" spans="1:21">
      <c r="A13" s="4"/>
      <c r="B13" s="385" t="s">
        <v>9</v>
      </c>
      <c r="C13" s="386"/>
      <c r="D13" s="386"/>
      <c r="E13" s="386"/>
      <c r="F13" s="387"/>
      <c r="G13" s="418" t="s">
        <v>6</v>
      </c>
      <c r="H13" s="419"/>
      <c r="I13" s="412">
        <v>0</v>
      </c>
      <c r="J13" s="413"/>
      <c r="K13" s="413"/>
      <c r="L13" s="414"/>
      <c r="M13" s="5" t="s">
        <v>7</v>
      </c>
      <c r="N13" s="420">
        <v>0</v>
      </c>
      <c r="O13" s="421"/>
      <c r="P13" s="421"/>
      <c r="Q13" s="422"/>
      <c r="R13" s="423"/>
      <c r="S13" s="424"/>
      <c r="T13" s="424"/>
      <c r="U13" s="425"/>
    </row>
    <row r="14" spans="1:21" ht="15.75" thickBot="1">
      <c r="A14" s="4"/>
      <c r="B14" s="385" t="s">
        <v>10</v>
      </c>
      <c r="C14" s="386"/>
      <c r="D14" s="386"/>
      <c r="E14" s="386"/>
      <c r="F14" s="387"/>
      <c r="G14" s="460" t="s">
        <v>55</v>
      </c>
      <c r="H14" s="461"/>
      <c r="I14" s="461"/>
      <c r="J14" s="461"/>
      <c r="K14" s="461"/>
      <c r="L14" s="461"/>
      <c r="M14" s="461"/>
      <c r="N14" s="461"/>
      <c r="O14" s="461"/>
      <c r="P14" s="461"/>
      <c r="Q14" s="461"/>
      <c r="R14" s="461"/>
      <c r="S14" s="461"/>
      <c r="T14" s="461"/>
      <c r="U14" s="462"/>
    </row>
    <row r="15" spans="1:21" ht="15.75" customHeight="1" thickBot="1">
      <c r="A15" s="4"/>
      <c r="B15" s="391" t="s">
        <v>11</v>
      </c>
      <c r="C15" s="392"/>
      <c r="D15" s="392"/>
      <c r="E15" s="392"/>
      <c r="F15" s="393"/>
      <c r="G15" s="394" t="s">
        <v>118</v>
      </c>
      <c r="H15" s="395"/>
      <c r="I15" s="395"/>
      <c r="J15" s="395"/>
      <c r="K15" s="395"/>
      <c r="L15" s="395"/>
      <c r="M15" s="395"/>
      <c r="N15" s="395"/>
      <c r="O15" s="395"/>
      <c r="P15" s="395"/>
      <c r="Q15" s="395"/>
      <c r="R15" s="395"/>
      <c r="S15" s="395"/>
      <c r="T15" s="395"/>
      <c r="U15" s="396"/>
    </row>
    <row r="16" spans="1:21" ht="15.75" thickBot="1">
      <c r="B16" s="397"/>
      <c r="C16" s="397"/>
      <c r="D16" s="397"/>
      <c r="E16" s="397"/>
      <c r="F16" s="397"/>
      <c r="G16" s="397"/>
      <c r="H16" s="397"/>
      <c r="I16" s="397"/>
      <c r="J16" s="397"/>
      <c r="K16" s="397"/>
      <c r="L16" s="397"/>
      <c r="M16" s="397"/>
      <c r="N16" s="397"/>
      <c r="O16" s="397"/>
      <c r="P16" s="397"/>
      <c r="Q16" s="397"/>
      <c r="R16" s="397"/>
      <c r="S16" s="397"/>
      <c r="T16" s="397"/>
      <c r="U16" s="397"/>
    </row>
    <row r="17" spans="1:27" ht="16.5" thickBot="1">
      <c r="A17" s="4"/>
      <c r="B17" s="306" t="s">
        <v>12</v>
      </c>
      <c r="C17" s="307"/>
      <c r="D17" s="308"/>
      <c r="E17" s="307" t="s">
        <v>13</v>
      </c>
      <c r="F17" s="308"/>
      <c r="G17" s="312" t="s">
        <v>14</v>
      </c>
      <c r="H17" s="313"/>
      <c r="I17" s="313"/>
      <c r="J17" s="313"/>
      <c r="K17" s="313"/>
      <c r="L17" s="313"/>
      <c r="M17" s="313"/>
      <c r="N17" s="313"/>
      <c r="O17" s="313"/>
      <c r="P17" s="313"/>
      <c r="Q17" s="313"/>
      <c r="R17" s="313"/>
      <c r="S17" s="313"/>
      <c r="T17" s="313"/>
      <c r="U17" s="314"/>
    </row>
    <row r="18" spans="1:27" ht="15.75" thickBot="1">
      <c r="A18" s="4"/>
      <c r="B18" s="309"/>
      <c r="C18" s="310"/>
      <c r="D18" s="311"/>
      <c r="E18" s="310"/>
      <c r="F18" s="311"/>
      <c r="G18" s="315" t="s">
        <v>15</v>
      </c>
      <c r="H18" s="316"/>
      <c r="I18" s="267" t="s">
        <v>16</v>
      </c>
      <c r="J18" s="268"/>
      <c r="K18" s="268"/>
      <c r="L18" s="268"/>
      <c r="M18" s="268"/>
      <c r="N18" s="269"/>
      <c r="O18" s="403" t="s">
        <v>17</v>
      </c>
      <c r="P18" s="404"/>
      <c r="Q18" s="404"/>
      <c r="R18" s="404"/>
      <c r="S18" s="404"/>
      <c r="T18" s="404"/>
      <c r="U18" s="405"/>
    </row>
    <row r="19" spans="1:27">
      <c r="A19" s="4"/>
      <c r="B19" s="309"/>
      <c r="C19" s="310"/>
      <c r="D19" s="311"/>
      <c r="E19" s="310"/>
      <c r="F19" s="311"/>
      <c r="G19" s="317"/>
      <c r="H19" s="318"/>
      <c r="I19" s="315" t="s">
        <v>18</v>
      </c>
      <c r="J19" s="406"/>
      <c r="K19" s="406"/>
      <c r="L19" s="315" t="s">
        <v>19</v>
      </c>
      <c r="M19" s="406"/>
      <c r="N19" s="316"/>
      <c r="O19" s="408" t="s">
        <v>18</v>
      </c>
      <c r="P19" s="409"/>
      <c r="Q19" s="409"/>
      <c r="R19" s="315" t="s">
        <v>19</v>
      </c>
      <c r="S19" s="406"/>
      <c r="T19" s="406"/>
      <c r="U19" s="326" t="s">
        <v>20</v>
      </c>
      <c r="V19" s="477" t="s">
        <v>153</v>
      </c>
      <c r="W19" s="478"/>
      <c r="X19" s="477" t="s">
        <v>154</v>
      </c>
      <c r="Y19" s="478"/>
      <c r="Z19" s="477" t="s">
        <v>155</v>
      </c>
      <c r="AA19" s="478"/>
    </row>
    <row r="20" spans="1:27" ht="15.75" thickBot="1">
      <c r="A20" s="4"/>
      <c r="B20" s="398"/>
      <c r="C20" s="399"/>
      <c r="D20" s="400"/>
      <c r="E20" s="399"/>
      <c r="F20" s="400"/>
      <c r="G20" s="401"/>
      <c r="H20" s="402"/>
      <c r="I20" s="401"/>
      <c r="J20" s="407"/>
      <c r="K20" s="407"/>
      <c r="L20" s="401"/>
      <c r="M20" s="407"/>
      <c r="N20" s="402"/>
      <c r="O20" s="401"/>
      <c r="P20" s="407"/>
      <c r="Q20" s="407"/>
      <c r="R20" s="401"/>
      <c r="S20" s="407"/>
      <c r="T20" s="407"/>
      <c r="U20" s="327"/>
      <c r="V20" s="477"/>
      <c r="W20" s="478"/>
      <c r="X20" s="477"/>
      <c r="Y20" s="478"/>
      <c r="Z20" s="477"/>
      <c r="AA20" s="478"/>
    </row>
    <row r="21" spans="1:27">
      <c r="A21" s="4"/>
      <c r="B21" s="372" t="s">
        <v>59</v>
      </c>
      <c r="C21" s="373"/>
      <c r="D21" s="374"/>
      <c r="E21" s="375"/>
      <c r="F21" s="376"/>
      <c r="G21" s="377"/>
      <c r="H21" s="378"/>
      <c r="I21" s="379"/>
      <c r="J21" s="380"/>
      <c r="K21" s="378"/>
      <c r="L21" s="381"/>
      <c r="M21" s="380"/>
      <c r="N21" s="382"/>
      <c r="O21" s="383"/>
      <c r="P21" s="384"/>
      <c r="Q21" s="384"/>
      <c r="R21" s="384"/>
      <c r="S21" s="384"/>
      <c r="T21" s="384"/>
      <c r="U21" s="53"/>
    </row>
    <row r="22" spans="1:27">
      <c r="A22" s="4"/>
      <c r="B22" s="354" t="s">
        <v>76</v>
      </c>
      <c r="C22" s="362"/>
      <c r="D22" s="363"/>
      <c r="E22" s="364"/>
      <c r="F22" s="365"/>
      <c r="G22" s="366"/>
      <c r="H22" s="367"/>
      <c r="I22" s="371"/>
      <c r="J22" s="370"/>
      <c r="K22" s="370"/>
      <c r="L22" s="370"/>
      <c r="M22" s="370"/>
      <c r="N22" s="365"/>
      <c r="O22" s="371"/>
      <c r="P22" s="370"/>
      <c r="Q22" s="370"/>
      <c r="R22" s="370"/>
      <c r="S22" s="370"/>
      <c r="T22" s="370"/>
      <c r="U22" s="52"/>
    </row>
    <row r="23" spans="1:27">
      <c r="A23" s="4"/>
      <c r="B23" s="328" t="s">
        <v>56</v>
      </c>
      <c r="C23" s="329"/>
      <c r="D23" s="330"/>
      <c r="E23" s="331" t="s">
        <v>58</v>
      </c>
      <c r="F23" s="332"/>
      <c r="G23" s="348">
        <v>170</v>
      </c>
      <c r="H23" s="359"/>
      <c r="I23" s="350">
        <v>170</v>
      </c>
      <c r="J23" s="351"/>
      <c r="K23" s="349"/>
      <c r="L23" s="350">
        <v>170</v>
      </c>
      <c r="M23" s="351"/>
      <c r="N23" s="352"/>
      <c r="O23" s="353">
        <v>170</v>
      </c>
      <c r="P23" s="351"/>
      <c r="Q23" s="349"/>
      <c r="R23" s="350">
        <v>170</v>
      </c>
      <c r="S23" s="351"/>
      <c r="T23" s="349"/>
      <c r="U23" s="6">
        <f t="shared" ref="U23" si="0">R23/G23</f>
        <v>1</v>
      </c>
    </row>
    <row r="24" spans="1:27">
      <c r="A24" s="4"/>
      <c r="B24" s="328" t="s">
        <v>57</v>
      </c>
      <c r="C24" s="329"/>
      <c r="D24" s="330"/>
      <c r="E24" s="331" t="s">
        <v>58</v>
      </c>
      <c r="F24" s="332"/>
      <c r="G24" s="348">
        <v>4405</v>
      </c>
      <c r="H24" s="349"/>
      <c r="I24" s="350">
        <v>340</v>
      </c>
      <c r="J24" s="351"/>
      <c r="K24" s="349"/>
      <c r="L24" s="350">
        <v>339</v>
      </c>
      <c r="M24" s="351"/>
      <c r="N24" s="352"/>
      <c r="O24" s="353">
        <v>340</v>
      </c>
      <c r="P24" s="351"/>
      <c r="Q24" s="349"/>
      <c r="R24" s="350">
        <v>339</v>
      </c>
      <c r="S24" s="351"/>
      <c r="T24" s="349"/>
      <c r="U24" s="54">
        <f>R24/G24</f>
        <v>7.6958002270147555E-2</v>
      </c>
    </row>
    <row r="25" spans="1:27" ht="15" customHeight="1">
      <c r="A25" s="4"/>
      <c r="B25" s="354" t="s">
        <v>77</v>
      </c>
      <c r="C25" s="362"/>
      <c r="D25" s="363"/>
      <c r="E25" s="364"/>
      <c r="F25" s="365"/>
      <c r="G25" s="366"/>
      <c r="H25" s="367"/>
      <c r="I25" s="371"/>
      <c r="J25" s="370"/>
      <c r="K25" s="370"/>
      <c r="L25" s="370"/>
      <c r="M25" s="370"/>
      <c r="N25" s="365"/>
      <c r="O25" s="371"/>
      <c r="P25" s="370"/>
      <c r="Q25" s="370"/>
      <c r="R25" s="370"/>
      <c r="S25" s="370"/>
      <c r="T25" s="370"/>
      <c r="U25" s="52"/>
    </row>
    <row r="26" spans="1:27">
      <c r="A26" s="4"/>
      <c r="B26" s="328" t="s">
        <v>56</v>
      </c>
      <c r="C26" s="329"/>
      <c r="D26" s="330"/>
      <c r="E26" s="331" t="s">
        <v>58</v>
      </c>
      <c r="F26" s="332"/>
      <c r="G26" s="348">
        <v>35</v>
      </c>
      <c r="H26" s="359"/>
      <c r="I26" s="350">
        <v>35</v>
      </c>
      <c r="J26" s="351"/>
      <c r="K26" s="349"/>
      <c r="L26" s="350">
        <v>35</v>
      </c>
      <c r="M26" s="351"/>
      <c r="N26" s="352"/>
      <c r="O26" s="353">
        <v>35</v>
      </c>
      <c r="P26" s="351"/>
      <c r="Q26" s="349"/>
      <c r="R26" s="350">
        <v>35</v>
      </c>
      <c r="S26" s="351"/>
      <c r="T26" s="349"/>
      <c r="U26" s="6">
        <f t="shared" ref="U26" si="1">R26/G26</f>
        <v>1</v>
      </c>
    </row>
    <row r="27" spans="1:27">
      <c r="A27" s="4"/>
      <c r="B27" s="328" t="s">
        <v>57</v>
      </c>
      <c r="C27" s="329"/>
      <c r="D27" s="330"/>
      <c r="E27" s="331" t="s">
        <v>58</v>
      </c>
      <c r="F27" s="332"/>
      <c r="G27" s="348">
        <v>907</v>
      </c>
      <c r="H27" s="349"/>
      <c r="I27" s="350">
        <v>70</v>
      </c>
      <c r="J27" s="351"/>
      <c r="K27" s="349"/>
      <c r="L27" s="350">
        <v>70</v>
      </c>
      <c r="M27" s="351"/>
      <c r="N27" s="352"/>
      <c r="O27" s="353">
        <v>70</v>
      </c>
      <c r="P27" s="351"/>
      <c r="Q27" s="349"/>
      <c r="R27" s="350">
        <v>70</v>
      </c>
      <c r="S27" s="351"/>
      <c r="T27" s="349"/>
      <c r="U27" s="54">
        <f>R27/G27</f>
        <v>7.7177508269018744E-2</v>
      </c>
    </row>
    <row r="28" spans="1:27" ht="15" customHeight="1">
      <c r="A28" s="4"/>
      <c r="B28" s="354" t="s">
        <v>78</v>
      </c>
      <c r="C28" s="362"/>
      <c r="D28" s="363"/>
      <c r="E28" s="364"/>
      <c r="F28" s="365"/>
      <c r="G28" s="366"/>
      <c r="H28" s="367"/>
      <c r="I28" s="371"/>
      <c r="J28" s="370"/>
      <c r="K28" s="370"/>
      <c r="L28" s="370"/>
      <c r="M28" s="370"/>
      <c r="N28" s="365"/>
      <c r="O28" s="371"/>
      <c r="P28" s="370"/>
      <c r="Q28" s="370"/>
      <c r="R28" s="370"/>
      <c r="S28" s="370"/>
      <c r="T28" s="370"/>
      <c r="U28" s="52"/>
    </row>
    <row r="29" spans="1:27">
      <c r="A29" s="4"/>
      <c r="B29" s="328" t="s">
        <v>56</v>
      </c>
      <c r="C29" s="329"/>
      <c r="D29" s="330"/>
      <c r="E29" s="331" t="s">
        <v>58</v>
      </c>
      <c r="F29" s="332"/>
      <c r="G29" s="348">
        <v>35</v>
      </c>
      <c r="H29" s="359"/>
      <c r="I29" s="350">
        <v>35</v>
      </c>
      <c r="J29" s="351"/>
      <c r="K29" s="349"/>
      <c r="L29" s="350">
        <v>35</v>
      </c>
      <c r="M29" s="351"/>
      <c r="N29" s="352"/>
      <c r="O29" s="353">
        <v>35</v>
      </c>
      <c r="P29" s="351"/>
      <c r="Q29" s="349"/>
      <c r="R29" s="350">
        <v>35</v>
      </c>
      <c r="S29" s="351"/>
      <c r="T29" s="349"/>
      <c r="U29" s="6">
        <f t="shared" ref="U29" si="2">R29/G29</f>
        <v>1</v>
      </c>
    </row>
    <row r="30" spans="1:27">
      <c r="A30" s="4"/>
      <c r="B30" s="328" t="s">
        <v>57</v>
      </c>
      <c r="C30" s="329"/>
      <c r="D30" s="330"/>
      <c r="E30" s="331" t="s">
        <v>58</v>
      </c>
      <c r="F30" s="332"/>
      <c r="G30" s="348">
        <v>907</v>
      </c>
      <c r="H30" s="349"/>
      <c r="I30" s="350">
        <v>70</v>
      </c>
      <c r="J30" s="351"/>
      <c r="K30" s="349"/>
      <c r="L30" s="350">
        <v>70</v>
      </c>
      <c r="M30" s="351"/>
      <c r="N30" s="352"/>
      <c r="O30" s="353">
        <v>70</v>
      </c>
      <c r="P30" s="351"/>
      <c r="Q30" s="349"/>
      <c r="R30" s="350">
        <v>70</v>
      </c>
      <c r="S30" s="351"/>
      <c r="T30" s="349"/>
      <c r="U30" s="54">
        <f>R30/G30</f>
        <v>7.7177508269018744E-2</v>
      </c>
    </row>
    <row r="31" spans="1:27" ht="15" customHeight="1">
      <c r="A31" s="4"/>
      <c r="B31" s="354" t="s">
        <v>79</v>
      </c>
      <c r="C31" s="362"/>
      <c r="D31" s="363"/>
      <c r="E31" s="364"/>
      <c r="F31" s="365"/>
      <c r="G31" s="366"/>
      <c r="H31" s="367"/>
      <c r="I31" s="371"/>
      <c r="J31" s="370"/>
      <c r="K31" s="370"/>
      <c r="L31" s="370"/>
      <c r="M31" s="370"/>
      <c r="N31" s="365"/>
      <c r="O31" s="371"/>
      <c r="P31" s="370"/>
      <c r="Q31" s="370"/>
      <c r="R31" s="370"/>
      <c r="S31" s="370"/>
      <c r="T31" s="370"/>
      <c r="U31" s="52"/>
    </row>
    <row r="32" spans="1:27">
      <c r="A32" s="4"/>
      <c r="B32" s="328" t="s">
        <v>56</v>
      </c>
      <c r="C32" s="329"/>
      <c r="D32" s="330"/>
      <c r="E32" s="331" t="s">
        <v>58</v>
      </c>
      <c r="F32" s="332"/>
      <c r="G32" s="348">
        <v>96</v>
      </c>
      <c r="H32" s="359"/>
      <c r="I32" s="350">
        <v>0</v>
      </c>
      <c r="J32" s="351"/>
      <c r="K32" s="349"/>
      <c r="L32" s="350">
        <v>0</v>
      </c>
      <c r="M32" s="351"/>
      <c r="N32" s="352"/>
      <c r="O32" s="353">
        <v>0</v>
      </c>
      <c r="P32" s="351"/>
      <c r="Q32" s="349"/>
      <c r="R32" s="350">
        <v>0</v>
      </c>
      <c r="S32" s="351"/>
      <c r="T32" s="349"/>
      <c r="U32" s="54">
        <f t="shared" ref="U32" si="3">R32/G32</f>
        <v>0</v>
      </c>
    </row>
    <row r="33" spans="1:21">
      <c r="A33" s="4"/>
      <c r="B33" s="328" t="s">
        <v>57</v>
      </c>
      <c r="C33" s="329"/>
      <c r="D33" s="330"/>
      <c r="E33" s="331" t="s">
        <v>58</v>
      </c>
      <c r="F33" s="332"/>
      <c r="G33" s="348">
        <v>1440</v>
      </c>
      <c r="H33" s="349"/>
      <c r="I33" s="350">
        <v>0</v>
      </c>
      <c r="J33" s="351"/>
      <c r="K33" s="349"/>
      <c r="L33" s="350">
        <v>0</v>
      </c>
      <c r="M33" s="351"/>
      <c r="N33" s="352"/>
      <c r="O33" s="353">
        <v>0</v>
      </c>
      <c r="P33" s="351"/>
      <c r="Q33" s="349"/>
      <c r="R33" s="350">
        <v>0</v>
      </c>
      <c r="S33" s="351"/>
      <c r="T33" s="349"/>
      <c r="U33" s="54">
        <f>R33/G33</f>
        <v>0</v>
      </c>
    </row>
    <row r="34" spans="1:21">
      <c r="A34" s="4"/>
      <c r="B34" s="354" t="s">
        <v>63</v>
      </c>
      <c r="C34" s="355"/>
      <c r="D34" s="356"/>
      <c r="E34" s="357"/>
      <c r="F34" s="358"/>
      <c r="G34" s="348"/>
      <c r="H34" s="349"/>
      <c r="I34" s="350"/>
      <c r="J34" s="351"/>
      <c r="K34" s="349"/>
      <c r="L34" s="353"/>
      <c r="M34" s="351"/>
      <c r="N34" s="352"/>
      <c r="O34" s="353"/>
      <c r="P34" s="351"/>
      <c r="Q34" s="351"/>
      <c r="R34" s="351"/>
      <c r="S34" s="351"/>
      <c r="T34" s="351"/>
      <c r="U34" s="6"/>
    </row>
    <row r="35" spans="1:21">
      <c r="A35" s="4"/>
      <c r="B35" s="328" t="s">
        <v>60</v>
      </c>
      <c r="C35" s="329"/>
      <c r="D35" s="330"/>
      <c r="E35" s="331" t="s">
        <v>58</v>
      </c>
      <c r="F35" s="332"/>
      <c r="G35" s="348">
        <v>12</v>
      </c>
      <c r="H35" s="359"/>
      <c r="I35" s="350">
        <v>0</v>
      </c>
      <c r="J35" s="351"/>
      <c r="K35" s="349"/>
      <c r="L35" s="350">
        <v>0</v>
      </c>
      <c r="M35" s="351"/>
      <c r="N35" s="352"/>
      <c r="O35" s="353">
        <v>0</v>
      </c>
      <c r="P35" s="351"/>
      <c r="Q35" s="349"/>
      <c r="R35" s="350">
        <v>0</v>
      </c>
      <c r="S35" s="351"/>
      <c r="T35" s="349"/>
      <c r="U35" s="54">
        <f>R35/G35</f>
        <v>0</v>
      </c>
    </row>
    <row r="36" spans="1:21">
      <c r="A36" s="4"/>
      <c r="B36" s="354" t="s">
        <v>61</v>
      </c>
      <c r="C36" s="355"/>
      <c r="D36" s="356"/>
      <c r="E36" s="357"/>
      <c r="F36" s="358"/>
      <c r="G36" s="348"/>
      <c r="H36" s="349"/>
      <c r="I36" s="350"/>
      <c r="J36" s="351"/>
      <c r="K36" s="349"/>
      <c r="L36" s="353"/>
      <c r="M36" s="351"/>
      <c r="N36" s="352"/>
      <c r="O36" s="353"/>
      <c r="P36" s="351"/>
      <c r="Q36" s="351"/>
      <c r="R36" s="351"/>
      <c r="S36" s="351"/>
      <c r="T36" s="351"/>
      <c r="U36" s="6"/>
    </row>
    <row r="37" spans="1:21" ht="15" customHeight="1">
      <c r="A37" s="4"/>
      <c r="B37" s="328" t="s">
        <v>61</v>
      </c>
      <c r="C37" s="329"/>
      <c r="D37" s="330"/>
      <c r="E37" s="331" t="s">
        <v>58</v>
      </c>
      <c r="F37" s="332"/>
      <c r="G37" s="348">
        <v>15</v>
      </c>
      <c r="H37" s="349"/>
      <c r="I37" s="350">
        <v>0</v>
      </c>
      <c r="J37" s="351"/>
      <c r="K37" s="349"/>
      <c r="L37" s="350">
        <v>0</v>
      </c>
      <c r="M37" s="351"/>
      <c r="N37" s="352"/>
      <c r="O37" s="353">
        <v>0</v>
      </c>
      <c r="P37" s="351"/>
      <c r="Q37" s="349"/>
      <c r="R37" s="350">
        <v>0</v>
      </c>
      <c r="S37" s="351"/>
      <c r="T37" s="349"/>
      <c r="U37" s="54">
        <f>R37/G37</f>
        <v>0</v>
      </c>
    </row>
    <row r="38" spans="1:21" ht="15" customHeight="1">
      <c r="A38" s="4"/>
      <c r="B38" s="354" t="s">
        <v>62</v>
      </c>
      <c r="C38" s="355"/>
      <c r="D38" s="356"/>
      <c r="E38" s="357"/>
      <c r="F38" s="358"/>
      <c r="G38" s="348"/>
      <c r="H38" s="349"/>
      <c r="I38" s="350"/>
      <c r="J38" s="351"/>
      <c r="K38" s="349"/>
      <c r="L38" s="353"/>
      <c r="M38" s="351"/>
      <c r="N38" s="352"/>
      <c r="O38" s="353"/>
      <c r="P38" s="351"/>
      <c r="Q38" s="351"/>
      <c r="R38" s="351"/>
      <c r="S38" s="351"/>
      <c r="T38" s="351"/>
      <c r="U38" s="6"/>
    </row>
    <row r="39" spans="1:21" ht="15" customHeight="1" thickBot="1">
      <c r="A39" s="4"/>
      <c r="B39" s="328" t="s">
        <v>62</v>
      </c>
      <c r="C39" s="329"/>
      <c r="D39" s="330"/>
      <c r="E39" s="331" t="s">
        <v>58</v>
      </c>
      <c r="F39" s="332"/>
      <c r="G39" s="333">
        <v>1</v>
      </c>
      <c r="H39" s="334"/>
      <c r="I39" s="335">
        <v>0</v>
      </c>
      <c r="J39" s="336"/>
      <c r="K39" s="334"/>
      <c r="L39" s="458">
        <v>0</v>
      </c>
      <c r="M39" s="336"/>
      <c r="N39" s="459"/>
      <c r="O39" s="353">
        <v>0</v>
      </c>
      <c r="P39" s="351"/>
      <c r="Q39" s="351"/>
      <c r="R39" s="351">
        <v>0</v>
      </c>
      <c r="S39" s="351"/>
      <c r="T39" s="351"/>
      <c r="U39" s="54">
        <f>R39/G39</f>
        <v>0</v>
      </c>
    </row>
    <row r="40" spans="1:21" ht="15.75" thickBot="1">
      <c r="A40" s="4"/>
      <c r="B40" s="342" t="s">
        <v>21</v>
      </c>
      <c r="C40" s="343"/>
      <c r="D40" s="343"/>
      <c r="E40" s="343"/>
      <c r="F40" s="344"/>
      <c r="G40" s="345"/>
      <c r="H40" s="346"/>
      <c r="I40" s="346"/>
      <c r="J40" s="346"/>
      <c r="K40" s="346"/>
      <c r="L40" s="346"/>
      <c r="M40" s="346"/>
      <c r="N40" s="347"/>
      <c r="O40" s="345"/>
      <c r="P40" s="346"/>
      <c r="Q40" s="346"/>
      <c r="R40" s="346"/>
      <c r="S40" s="346"/>
      <c r="T40" s="346"/>
      <c r="U40" s="347"/>
    </row>
    <row r="41" spans="1:21" ht="15.75" thickBot="1">
      <c r="B41" s="7"/>
      <c r="C41" s="8"/>
      <c r="D41" s="9"/>
      <c r="E41" s="10"/>
      <c r="F41" s="11"/>
      <c r="G41" s="12"/>
      <c r="H41" s="13"/>
      <c r="I41" s="14"/>
      <c r="J41" s="14"/>
      <c r="K41" s="15"/>
      <c r="L41" s="14"/>
      <c r="M41" s="15"/>
      <c r="N41" s="14"/>
      <c r="O41" s="14"/>
      <c r="P41" s="14"/>
      <c r="Q41" s="14"/>
      <c r="R41" s="15"/>
      <c r="S41" s="14"/>
      <c r="T41" s="12"/>
      <c r="U41" s="14"/>
    </row>
    <row r="42" spans="1:21" ht="16.5" customHeight="1" thickBot="1">
      <c r="A42" s="4"/>
      <c r="B42" s="306" t="s">
        <v>22</v>
      </c>
      <c r="C42" s="307"/>
      <c r="D42" s="307"/>
      <c r="E42" s="307"/>
      <c r="F42" s="308"/>
      <c r="G42" s="312" t="s">
        <v>129</v>
      </c>
      <c r="H42" s="313"/>
      <c r="I42" s="313"/>
      <c r="J42" s="313"/>
      <c r="K42" s="313"/>
      <c r="L42" s="313"/>
      <c r="M42" s="313"/>
      <c r="N42" s="313"/>
      <c r="O42" s="313"/>
      <c r="P42" s="313"/>
      <c r="Q42" s="313"/>
      <c r="R42" s="313"/>
      <c r="S42" s="313"/>
      <c r="T42" s="313"/>
      <c r="U42" s="314"/>
    </row>
    <row r="43" spans="1:21" ht="15.75" thickBot="1">
      <c r="A43" s="4"/>
      <c r="B43" s="309"/>
      <c r="C43" s="310"/>
      <c r="D43" s="310"/>
      <c r="E43" s="310"/>
      <c r="F43" s="311"/>
      <c r="G43" s="315" t="s">
        <v>24</v>
      </c>
      <c r="H43" s="316"/>
      <c r="I43" s="310" t="s">
        <v>16</v>
      </c>
      <c r="J43" s="310"/>
      <c r="K43" s="310"/>
      <c r="L43" s="310"/>
      <c r="M43" s="310"/>
      <c r="N43" s="311"/>
      <c r="O43" s="321" t="s">
        <v>17</v>
      </c>
      <c r="P43" s="322"/>
      <c r="Q43" s="322"/>
      <c r="R43" s="322"/>
      <c r="S43" s="322"/>
      <c r="T43" s="322"/>
      <c r="U43" s="323"/>
    </row>
    <row r="44" spans="1:21" ht="15.75" customHeight="1" thickBot="1">
      <c r="A44" s="4"/>
      <c r="B44" s="309"/>
      <c r="C44" s="310"/>
      <c r="D44" s="310"/>
      <c r="E44" s="310"/>
      <c r="F44" s="311"/>
      <c r="G44" s="317"/>
      <c r="H44" s="318"/>
      <c r="I44" s="267" t="s">
        <v>18</v>
      </c>
      <c r="J44" s="268"/>
      <c r="K44" s="269"/>
      <c r="L44" s="267" t="s">
        <v>25</v>
      </c>
      <c r="M44" s="268"/>
      <c r="N44" s="269"/>
      <c r="O44" s="267" t="s">
        <v>18</v>
      </c>
      <c r="P44" s="268"/>
      <c r="Q44" s="324"/>
      <c r="R44" s="325" t="s">
        <v>25</v>
      </c>
      <c r="S44" s="268"/>
      <c r="T44" s="269"/>
      <c r="U44" s="326" t="s">
        <v>20</v>
      </c>
    </row>
    <row r="45" spans="1:21" ht="25.5" customHeight="1" thickBot="1">
      <c r="A45" s="4"/>
      <c r="B45" s="309"/>
      <c r="C45" s="310"/>
      <c r="D45" s="310"/>
      <c r="E45" s="310"/>
      <c r="F45" s="311"/>
      <c r="G45" s="319"/>
      <c r="H45" s="320"/>
      <c r="I45" s="16" t="s">
        <v>26</v>
      </c>
      <c r="J45" s="17" t="s">
        <v>27</v>
      </c>
      <c r="K45" s="17" t="s">
        <v>28</v>
      </c>
      <c r="L45" s="16" t="s">
        <v>26</v>
      </c>
      <c r="M45" s="17" t="s">
        <v>27</v>
      </c>
      <c r="N45" s="18" t="s">
        <v>28</v>
      </c>
      <c r="O45" s="19" t="s">
        <v>26</v>
      </c>
      <c r="P45" s="16" t="s">
        <v>27</v>
      </c>
      <c r="Q45" s="20" t="s">
        <v>28</v>
      </c>
      <c r="R45" s="21" t="s">
        <v>26</v>
      </c>
      <c r="S45" s="22" t="s">
        <v>27</v>
      </c>
      <c r="T45" s="17" t="s">
        <v>28</v>
      </c>
      <c r="U45" s="327"/>
    </row>
    <row r="46" spans="1:21" ht="15.75" thickBot="1">
      <c r="A46" s="4"/>
      <c r="B46" s="302" t="s">
        <v>29</v>
      </c>
      <c r="C46" s="303"/>
      <c r="D46" s="303"/>
      <c r="E46" s="303"/>
      <c r="F46" s="303"/>
      <c r="G46" s="303"/>
      <c r="H46" s="303"/>
      <c r="I46" s="303"/>
      <c r="J46" s="303"/>
      <c r="K46" s="303"/>
      <c r="L46" s="303"/>
      <c r="M46" s="303"/>
      <c r="N46" s="303"/>
      <c r="O46" s="303"/>
      <c r="P46" s="303"/>
      <c r="Q46" s="303"/>
      <c r="R46" s="303"/>
      <c r="S46" s="303"/>
      <c r="T46" s="303"/>
      <c r="U46" s="304"/>
    </row>
    <row r="47" spans="1:21" ht="15.75" customHeight="1">
      <c r="A47" s="23"/>
      <c r="B47" s="473" t="s">
        <v>82</v>
      </c>
      <c r="C47" s="474"/>
      <c r="D47" s="474"/>
      <c r="E47" s="474"/>
      <c r="F47" s="475"/>
      <c r="G47" s="290">
        <v>1908</v>
      </c>
      <c r="H47" s="305"/>
      <c r="I47" s="66">
        <v>0</v>
      </c>
      <c r="J47" s="67">
        <v>0</v>
      </c>
      <c r="K47" s="67">
        <v>0</v>
      </c>
      <c r="L47" s="67">
        <v>0</v>
      </c>
      <c r="M47" s="67">
        <v>0</v>
      </c>
      <c r="N47" s="67">
        <v>0</v>
      </c>
      <c r="O47" s="67">
        <v>0</v>
      </c>
      <c r="P47" s="67">
        <v>0</v>
      </c>
      <c r="Q47" s="68">
        <v>0</v>
      </c>
      <c r="R47" s="67">
        <v>0</v>
      </c>
      <c r="S47" s="67">
        <v>0</v>
      </c>
      <c r="T47" s="68">
        <v>0</v>
      </c>
      <c r="U47" s="69">
        <f>R47/G47</f>
        <v>0</v>
      </c>
    </row>
    <row r="48" spans="1:21" s="40" customFormat="1">
      <c r="A48" s="152"/>
      <c r="B48" s="274" t="s">
        <v>83</v>
      </c>
      <c r="C48" s="275"/>
      <c r="D48" s="275"/>
      <c r="E48" s="275"/>
      <c r="F48" s="276"/>
      <c r="G48" s="277">
        <v>9000</v>
      </c>
      <c r="H48" s="292"/>
      <c r="I48" s="142">
        <v>0</v>
      </c>
      <c r="J48" s="117">
        <v>0</v>
      </c>
      <c r="K48" s="117">
        <v>0</v>
      </c>
      <c r="L48" s="117">
        <v>0</v>
      </c>
      <c r="M48" s="117">
        <v>0</v>
      </c>
      <c r="N48" s="117">
        <v>0</v>
      </c>
      <c r="O48" s="117">
        <v>0</v>
      </c>
      <c r="P48" s="117">
        <v>0</v>
      </c>
      <c r="Q48" s="117">
        <v>0</v>
      </c>
      <c r="R48" s="117">
        <v>0</v>
      </c>
      <c r="S48" s="117">
        <v>0</v>
      </c>
      <c r="T48" s="117">
        <v>0</v>
      </c>
      <c r="U48" s="153">
        <f>R48/G48</f>
        <v>0</v>
      </c>
    </row>
    <row r="49" spans="1:21" s="40" customFormat="1">
      <c r="A49" s="152"/>
      <c r="B49" s="274" t="s">
        <v>84</v>
      </c>
      <c r="C49" s="275"/>
      <c r="D49" s="275"/>
      <c r="E49" s="275"/>
      <c r="F49" s="276"/>
      <c r="G49" s="277">
        <v>15000</v>
      </c>
      <c r="H49" s="292"/>
      <c r="I49" s="142">
        <v>0</v>
      </c>
      <c r="J49" s="117">
        <v>0</v>
      </c>
      <c r="K49" s="117">
        <v>0</v>
      </c>
      <c r="L49" s="117">
        <v>0</v>
      </c>
      <c r="M49" s="117">
        <v>0</v>
      </c>
      <c r="N49" s="117">
        <v>0</v>
      </c>
      <c r="O49" s="117">
        <v>0</v>
      </c>
      <c r="P49" s="117">
        <v>0</v>
      </c>
      <c r="Q49" s="117">
        <v>0</v>
      </c>
      <c r="R49" s="117">
        <v>0</v>
      </c>
      <c r="S49" s="117">
        <v>0</v>
      </c>
      <c r="T49" s="117">
        <v>0</v>
      </c>
      <c r="U49" s="153">
        <f>R49/G49</f>
        <v>0</v>
      </c>
    </row>
    <row r="50" spans="1:21" s="40" customFormat="1">
      <c r="A50" s="152"/>
      <c r="B50" s="274" t="s">
        <v>85</v>
      </c>
      <c r="C50" s="275"/>
      <c r="D50" s="275"/>
      <c r="E50" s="275"/>
      <c r="F50" s="276"/>
      <c r="G50" s="277">
        <v>2000</v>
      </c>
      <c r="H50" s="292"/>
      <c r="I50" s="142">
        <v>0</v>
      </c>
      <c r="J50" s="117">
        <v>0</v>
      </c>
      <c r="K50" s="117">
        <v>0</v>
      </c>
      <c r="L50" s="117">
        <v>0</v>
      </c>
      <c r="M50" s="117">
        <v>0</v>
      </c>
      <c r="N50" s="117">
        <v>0</v>
      </c>
      <c r="O50" s="117">
        <v>0</v>
      </c>
      <c r="P50" s="117">
        <v>0</v>
      </c>
      <c r="Q50" s="117">
        <v>0</v>
      </c>
      <c r="R50" s="117">
        <v>0</v>
      </c>
      <c r="S50" s="117">
        <v>0</v>
      </c>
      <c r="T50" s="117">
        <v>0</v>
      </c>
      <c r="U50" s="153">
        <f t="shared" ref="U50:U56" si="4">R50/G50</f>
        <v>0</v>
      </c>
    </row>
    <row r="51" spans="1:21" s="40" customFormat="1">
      <c r="A51" s="152"/>
      <c r="B51" s="274" t="s">
        <v>119</v>
      </c>
      <c r="C51" s="275"/>
      <c r="D51" s="275"/>
      <c r="E51" s="275"/>
      <c r="F51" s="276"/>
      <c r="G51" s="277">
        <v>198000</v>
      </c>
      <c r="H51" s="292"/>
      <c r="I51" s="142">
        <v>16500</v>
      </c>
      <c r="J51" s="117">
        <v>0</v>
      </c>
      <c r="K51" s="117">
        <v>0</v>
      </c>
      <c r="L51" s="117">
        <v>0</v>
      </c>
      <c r="M51" s="117">
        <v>0</v>
      </c>
      <c r="N51" s="117">
        <v>0</v>
      </c>
      <c r="O51" s="117">
        <v>16500</v>
      </c>
      <c r="P51" s="117">
        <v>0</v>
      </c>
      <c r="Q51" s="117">
        <v>0</v>
      </c>
      <c r="R51" s="117">
        <v>0</v>
      </c>
      <c r="S51" s="117">
        <v>0</v>
      </c>
      <c r="T51" s="117">
        <v>0</v>
      </c>
      <c r="U51" s="153">
        <f>R51/G51</f>
        <v>0</v>
      </c>
    </row>
    <row r="52" spans="1:21" s="40" customFormat="1" ht="15" customHeight="1">
      <c r="A52" s="152"/>
      <c r="B52" s="274" t="s">
        <v>130</v>
      </c>
      <c r="C52" s="275"/>
      <c r="D52" s="275"/>
      <c r="E52" s="275"/>
      <c r="F52" s="276"/>
      <c r="G52" s="277">
        <v>13000</v>
      </c>
      <c r="H52" s="292"/>
      <c r="I52" s="142">
        <v>0</v>
      </c>
      <c r="J52" s="117">
        <v>0</v>
      </c>
      <c r="K52" s="117">
        <v>0</v>
      </c>
      <c r="L52" s="117">
        <v>0</v>
      </c>
      <c r="M52" s="117">
        <v>0</v>
      </c>
      <c r="N52" s="117">
        <v>0</v>
      </c>
      <c r="O52" s="117">
        <v>0</v>
      </c>
      <c r="P52" s="117">
        <v>0</v>
      </c>
      <c r="Q52" s="117">
        <v>0</v>
      </c>
      <c r="R52" s="117">
        <v>0</v>
      </c>
      <c r="S52" s="117">
        <v>0</v>
      </c>
      <c r="T52" s="117">
        <v>0</v>
      </c>
      <c r="U52" s="153">
        <f>R52/G52</f>
        <v>0</v>
      </c>
    </row>
    <row r="53" spans="1:21" s="40" customFormat="1">
      <c r="A53" s="152"/>
      <c r="B53" s="274" t="s">
        <v>86</v>
      </c>
      <c r="C53" s="275"/>
      <c r="D53" s="275"/>
      <c r="E53" s="275"/>
      <c r="F53" s="276"/>
      <c r="G53" s="277">
        <v>30000</v>
      </c>
      <c r="H53" s="292"/>
      <c r="I53" s="142">
        <v>0</v>
      </c>
      <c r="J53" s="117">
        <v>0</v>
      </c>
      <c r="K53" s="117">
        <v>0</v>
      </c>
      <c r="L53" s="117">
        <v>0</v>
      </c>
      <c r="M53" s="117">
        <v>0</v>
      </c>
      <c r="N53" s="117">
        <v>0</v>
      </c>
      <c r="O53" s="117">
        <v>0</v>
      </c>
      <c r="P53" s="117">
        <v>0</v>
      </c>
      <c r="Q53" s="117">
        <v>0</v>
      </c>
      <c r="R53" s="117">
        <v>0</v>
      </c>
      <c r="S53" s="117">
        <v>0</v>
      </c>
      <c r="T53" s="117">
        <v>0</v>
      </c>
      <c r="U53" s="153">
        <f t="shared" si="4"/>
        <v>0</v>
      </c>
    </row>
    <row r="54" spans="1:21" s="40" customFormat="1">
      <c r="A54" s="152"/>
      <c r="B54" s="274" t="s">
        <v>88</v>
      </c>
      <c r="C54" s="275"/>
      <c r="D54" s="275"/>
      <c r="E54" s="275"/>
      <c r="F54" s="276"/>
      <c r="G54" s="277">
        <v>5800</v>
      </c>
      <c r="H54" s="292"/>
      <c r="I54" s="142">
        <v>0</v>
      </c>
      <c r="J54" s="117">
        <v>0</v>
      </c>
      <c r="K54" s="117">
        <v>0</v>
      </c>
      <c r="L54" s="117">
        <v>0</v>
      </c>
      <c r="M54" s="117">
        <v>0</v>
      </c>
      <c r="N54" s="117">
        <v>0</v>
      </c>
      <c r="O54" s="117">
        <v>0</v>
      </c>
      <c r="P54" s="117">
        <v>0</v>
      </c>
      <c r="Q54" s="117">
        <v>0</v>
      </c>
      <c r="R54" s="117">
        <v>0</v>
      </c>
      <c r="S54" s="117">
        <v>0</v>
      </c>
      <c r="T54" s="117">
        <v>0</v>
      </c>
      <c r="U54" s="153">
        <f t="shared" ref="U54" si="5">R54/G54</f>
        <v>0</v>
      </c>
    </row>
    <row r="55" spans="1:21" s="40" customFormat="1">
      <c r="A55" s="152"/>
      <c r="B55" s="274" t="s">
        <v>131</v>
      </c>
      <c r="C55" s="275"/>
      <c r="D55" s="275"/>
      <c r="E55" s="275"/>
      <c r="F55" s="276"/>
      <c r="G55" s="277">
        <v>40000</v>
      </c>
      <c r="H55" s="292"/>
      <c r="I55" s="142">
        <v>0</v>
      </c>
      <c r="J55" s="117">
        <v>0</v>
      </c>
      <c r="K55" s="117">
        <v>0</v>
      </c>
      <c r="L55" s="117">
        <v>0</v>
      </c>
      <c r="M55" s="117">
        <v>0</v>
      </c>
      <c r="N55" s="117">
        <v>0</v>
      </c>
      <c r="O55" s="117">
        <v>0</v>
      </c>
      <c r="P55" s="117">
        <v>0</v>
      </c>
      <c r="Q55" s="117">
        <v>0</v>
      </c>
      <c r="R55" s="117">
        <v>0</v>
      </c>
      <c r="S55" s="117">
        <v>0</v>
      </c>
      <c r="T55" s="117">
        <v>0</v>
      </c>
      <c r="U55" s="153">
        <f t="shared" si="4"/>
        <v>0</v>
      </c>
    </row>
    <row r="56" spans="1:21" s="40" customFormat="1">
      <c r="A56" s="152"/>
      <c r="B56" s="274" t="s">
        <v>87</v>
      </c>
      <c r="C56" s="275"/>
      <c r="D56" s="275"/>
      <c r="E56" s="275"/>
      <c r="F56" s="276"/>
      <c r="G56" s="277">
        <v>9000</v>
      </c>
      <c r="H56" s="292"/>
      <c r="I56" s="142">
        <v>0</v>
      </c>
      <c r="J56" s="117">
        <v>0</v>
      </c>
      <c r="K56" s="117">
        <v>0</v>
      </c>
      <c r="L56" s="117">
        <v>0</v>
      </c>
      <c r="M56" s="117">
        <v>0</v>
      </c>
      <c r="N56" s="117">
        <v>0</v>
      </c>
      <c r="O56" s="117">
        <v>0</v>
      </c>
      <c r="P56" s="117">
        <v>0</v>
      </c>
      <c r="Q56" s="117">
        <v>0</v>
      </c>
      <c r="R56" s="117">
        <v>0</v>
      </c>
      <c r="S56" s="117">
        <v>0</v>
      </c>
      <c r="T56" s="117">
        <v>0</v>
      </c>
      <c r="U56" s="153">
        <f t="shared" si="4"/>
        <v>0</v>
      </c>
    </row>
    <row r="57" spans="1:21" s="40" customFormat="1">
      <c r="A57" s="152"/>
      <c r="B57" s="274" t="s">
        <v>89</v>
      </c>
      <c r="C57" s="275"/>
      <c r="D57" s="275"/>
      <c r="E57" s="275"/>
      <c r="F57" s="276"/>
      <c r="G57" s="277">
        <v>8000</v>
      </c>
      <c r="H57" s="292"/>
      <c r="I57" s="142">
        <v>0</v>
      </c>
      <c r="J57" s="117">
        <v>0</v>
      </c>
      <c r="K57" s="117">
        <v>0</v>
      </c>
      <c r="L57" s="117">
        <v>0</v>
      </c>
      <c r="M57" s="117">
        <v>0</v>
      </c>
      <c r="N57" s="117">
        <v>0</v>
      </c>
      <c r="O57" s="117">
        <v>0</v>
      </c>
      <c r="P57" s="117">
        <v>0</v>
      </c>
      <c r="Q57" s="117">
        <v>0</v>
      </c>
      <c r="R57" s="117">
        <v>0</v>
      </c>
      <c r="S57" s="117">
        <v>0</v>
      </c>
      <c r="T57" s="117">
        <v>0</v>
      </c>
      <c r="U57" s="153">
        <f t="shared" ref="U57:U61" si="6">R57/G57</f>
        <v>0</v>
      </c>
    </row>
    <row r="58" spans="1:21" s="40" customFormat="1">
      <c r="A58" s="152"/>
      <c r="B58" s="274" t="s">
        <v>90</v>
      </c>
      <c r="C58" s="275"/>
      <c r="D58" s="275"/>
      <c r="E58" s="275"/>
      <c r="F58" s="276"/>
      <c r="G58" s="277">
        <v>9000</v>
      </c>
      <c r="H58" s="292"/>
      <c r="I58" s="142">
        <v>0</v>
      </c>
      <c r="J58" s="117">
        <v>0</v>
      </c>
      <c r="K58" s="117">
        <v>0</v>
      </c>
      <c r="L58" s="117">
        <v>0</v>
      </c>
      <c r="M58" s="117">
        <v>0</v>
      </c>
      <c r="N58" s="117">
        <v>0</v>
      </c>
      <c r="O58" s="117">
        <v>0</v>
      </c>
      <c r="P58" s="117">
        <v>0</v>
      </c>
      <c r="Q58" s="117">
        <v>0</v>
      </c>
      <c r="R58" s="117">
        <v>0</v>
      </c>
      <c r="S58" s="117">
        <v>0</v>
      </c>
      <c r="T58" s="117">
        <v>0</v>
      </c>
      <c r="U58" s="153">
        <f t="shared" ref="U58:U60" si="7">R58/G58</f>
        <v>0</v>
      </c>
    </row>
    <row r="59" spans="1:21" s="40" customFormat="1">
      <c r="A59" s="152"/>
      <c r="B59" s="274" t="s">
        <v>64</v>
      </c>
      <c r="C59" s="275"/>
      <c r="D59" s="275"/>
      <c r="E59" s="275"/>
      <c r="F59" s="276"/>
      <c r="G59" s="277">
        <v>3750</v>
      </c>
      <c r="H59" s="292"/>
      <c r="I59" s="142">
        <v>0</v>
      </c>
      <c r="J59" s="117">
        <v>0</v>
      </c>
      <c r="K59" s="117">
        <v>0</v>
      </c>
      <c r="L59" s="117">
        <v>0</v>
      </c>
      <c r="M59" s="117">
        <v>0</v>
      </c>
      <c r="N59" s="117">
        <v>0</v>
      </c>
      <c r="O59" s="117">
        <v>0</v>
      </c>
      <c r="P59" s="117">
        <v>0</v>
      </c>
      <c r="Q59" s="117">
        <v>0</v>
      </c>
      <c r="R59" s="117">
        <v>0</v>
      </c>
      <c r="S59" s="117">
        <v>0</v>
      </c>
      <c r="T59" s="117">
        <v>0</v>
      </c>
      <c r="U59" s="153">
        <f t="shared" si="7"/>
        <v>0</v>
      </c>
    </row>
    <row r="60" spans="1:21" s="40" customFormat="1">
      <c r="A60" s="152"/>
      <c r="B60" s="274" t="s">
        <v>91</v>
      </c>
      <c r="C60" s="275"/>
      <c r="D60" s="275"/>
      <c r="E60" s="275"/>
      <c r="F60" s="276"/>
      <c r="G60" s="277">
        <v>6000</v>
      </c>
      <c r="H60" s="292"/>
      <c r="I60" s="142">
        <v>0</v>
      </c>
      <c r="J60" s="117">
        <v>0</v>
      </c>
      <c r="K60" s="117">
        <v>0</v>
      </c>
      <c r="L60" s="117">
        <v>0</v>
      </c>
      <c r="M60" s="117">
        <v>0</v>
      </c>
      <c r="N60" s="117">
        <v>0</v>
      </c>
      <c r="O60" s="117">
        <v>0</v>
      </c>
      <c r="P60" s="117">
        <v>0</v>
      </c>
      <c r="Q60" s="117">
        <v>0</v>
      </c>
      <c r="R60" s="117">
        <v>0</v>
      </c>
      <c r="S60" s="117">
        <v>0</v>
      </c>
      <c r="T60" s="117">
        <v>0</v>
      </c>
      <c r="U60" s="153">
        <f t="shared" si="7"/>
        <v>0</v>
      </c>
    </row>
    <row r="61" spans="1:21" s="40" customFormat="1">
      <c r="A61" s="152"/>
      <c r="B61" s="274" t="s">
        <v>81</v>
      </c>
      <c r="C61" s="275"/>
      <c r="D61" s="275"/>
      <c r="E61" s="275"/>
      <c r="F61" s="276"/>
      <c r="G61" s="277">
        <v>195000</v>
      </c>
      <c r="H61" s="292"/>
      <c r="I61" s="142">
        <v>26000</v>
      </c>
      <c r="J61" s="117">
        <v>0</v>
      </c>
      <c r="K61" s="117">
        <v>0</v>
      </c>
      <c r="L61" s="117">
        <v>23416.71</v>
      </c>
      <c r="M61" s="117">
        <v>0</v>
      </c>
      <c r="N61" s="117">
        <v>0</v>
      </c>
      <c r="O61" s="117">
        <v>26000</v>
      </c>
      <c r="P61" s="117">
        <v>0</v>
      </c>
      <c r="Q61" s="117">
        <v>0</v>
      </c>
      <c r="R61" s="117">
        <v>23416.71</v>
      </c>
      <c r="S61" s="117">
        <v>0</v>
      </c>
      <c r="T61" s="117">
        <v>0</v>
      </c>
      <c r="U61" s="153">
        <f t="shared" si="6"/>
        <v>0.12008569230769231</v>
      </c>
    </row>
    <row r="62" spans="1:21" s="40" customFormat="1" ht="15" customHeight="1">
      <c r="A62" s="152"/>
      <c r="B62" s="274" t="s">
        <v>132</v>
      </c>
      <c r="C62" s="275"/>
      <c r="D62" s="275"/>
      <c r="E62" s="275"/>
      <c r="F62" s="276"/>
      <c r="G62" s="277">
        <v>1900</v>
      </c>
      <c r="H62" s="292"/>
      <c r="I62" s="142">
        <v>0</v>
      </c>
      <c r="J62" s="117">
        <v>0</v>
      </c>
      <c r="K62" s="117">
        <v>0</v>
      </c>
      <c r="L62" s="117">
        <v>0</v>
      </c>
      <c r="M62" s="117">
        <v>0</v>
      </c>
      <c r="N62" s="117">
        <v>0</v>
      </c>
      <c r="O62" s="117">
        <v>0</v>
      </c>
      <c r="P62" s="117">
        <v>0</v>
      </c>
      <c r="Q62" s="117">
        <v>0</v>
      </c>
      <c r="R62" s="117">
        <v>0</v>
      </c>
      <c r="S62" s="117">
        <v>0</v>
      </c>
      <c r="T62" s="117">
        <v>0</v>
      </c>
      <c r="U62" s="153">
        <f>R62/G62</f>
        <v>0</v>
      </c>
    </row>
    <row r="63" spans="1:21" ht="15" customHeight="1">
      <c r="A63" s="23"/>
      <c r="B63" s="465" t="s">
        <v>133</v>
      </c>
      <c r="C63" s="466"/>
      <c r="D63" s="466"/>
      <c r="E63" s="466"/>
      <c r="F63" s="467"/>
      <c r="G63" s="277">
        <v>20000</v>
      </c>
      <c r="H63" s="292"/>
      <c r="I63" s="64">
        <v>0</v>
      </c>
      <c r="J63" s="26">
        <v>0</v>
      </c>
      <c r="K63" s="26">
        <v>0</v>
      </c>
      <c r="L63" s="26">
        <v>0</v>
      </c>
      <c r="M63" s="26">
        <v>0</v>
      </c>
      <c r="N63" s="26">
        <v>0</v>
      </c>
      <c r="O63" s="26">
        <v>0</v>
      </c>
      <c r="P63" s="26">
        <v>0</v>
      </c>
      <c r="Q63" s="26">
        <v>0</v>
      </c>
      <c r="R63" s="26">
        <v>0</v>
      </c>
      <c r="S63" s="26">
        <v>0</v>
      </c>
      <c r="T63" s="26">
        <v>0</v>
      </c>
      <c r="U63" s="65">
        <f>R63/G63</f>
        <v>0</v>
      </c>
    </row>
    <row r="64" spans="1:21" ht="15" customHeight="1">
      <c r="A64" s="23"/>
      <c r="B64" s="274" t="s">
        <v>134</v>
      </c>
      <c r="C64" s="275"/>
      <c r="D64" s="275"/>
      <c r="E64" s="275"/>
      <c r="F64" s="276"/>
      <c r="G64" s="277">
        <v>7200</v>
      </c>
      <c r="H64" s="292"/>
      <c r="I64" s="64">
        <v>0</v>
      </c>
      <c r="J64" s="26">
        <v>0</v>
      </c>
      <c r="K64" s="26">
        <v>0</v>
      </c>
      <c r="L64" s="26">
        <v>0</v>
      </c>
      <c r="M64" s="26">
        <v>0</v>
      </c>
      <c r="N64" s="26">
        <v>0</v>
      </c>
      <c r="O64" s="26">
        <v>0</v>
      </c>
      <c r="P64" s="26">
        <v>0</v>
      </c>
      <c r="Q64" s="26">
        <v>0</v>
      </c>
      <c r="R64" s="26">
        <v>0</v>
      </c>
      <c r="S64" s="26">
        <v>0</v>
      </c>
      <c r="T64" s="26">
        <v>0</v>
      </c>
      <c r="U64" s="65">
        <f>R64/G64</f>
        <v>0</v>
      </c>
    </row>
    <row r="65" spans="1:21" ht="15" customHeight="1">
      <c r="A65" s="23"/>
      <c r="B65" s="274" t="s">
        <v>79</v>
      </c>
      <c r="C65" s="275"/>
      <c r="D65" s="275"/>
      <c r="E65" s="275"/>
      <c r="F65" s="276"/>
      <c r="G65" s="277">
        <v>37500</v>
      </c>
      <c r="H65" s="292"/>
      <c r="I65" s="64">
        <v>0</v>
      </c>
      <c r="J65" s="26">
        <v>0</v>
      </c>
      <c r="K65" s="26">
        <v>0</v>
      </c>
      <c r="L65" s="26">
        <v>0</v>
      </c>
      <c r="M65" s="26">
        <v>0</v>
      </c>
      <c r="N65" s="26">
        <v>0</v>
      </c>
      <c r="O65" s="26">
        <v>0</v>
      </c>
      <c r="P65" s="26">
        <v>0</v>
      </c>
      <c r="Q65" s="26">
        <v>0</v>
      </c>
      <c r="R65" s="26">
        <v>0</v>
      </c>
      <c r="S65" s="26">
        <v>0</v>
      </c>
      <c r="T65" s="26">
        <v>0</v>
      </c>
      <c r="U65" s="65">
        <f t="shared" ref="U65:U66" si="8">R65/G65</f>
        <v>0</v>
      </c>
    </row>
    <row r="66" spans="1:21" ht="15" customHeight="1">
      <c r="A66" s="23"/>
      <c r="B66" s="274" t="s">
        <v>92</v>
      </c>
      <c r="C66" s="275"/>
      <c r="D66" s="275"/>
      <c r="E66" s="275"/>
      <c r="F66" s="276"/>
      <c r="G66" s="277">
        <v>39600</v>
      </c>
      <c r="H66" s="292"/>
      <c r="I66" s="64">
        <v>0</v>
      </c>
      <c r="J66" s="26">
        <v>0</v>
      </c>
      <c r="K66" s="26">
        <v>0</v>
      </c>
      <c r="L66" s="26">
        <v>0</v>
      </c>
      <c r="M66" s="26">
        <v>0</v>
      </c>
      <c r="N66" s="26">
        <v>0</v>
      </c>
      <c r="O66" s="26">
        <v>0</v>
      </c>
      <c r="P66" s="26">
        <v>0</v>
      </c>
      <c r="Q66" s="26">
        <v>0</v>
      </c>
      <c r="R66" s="26">
        <v>0</v>
      </c>
      <c r="S66" s="26">
        <v>0</v>
      </c>
      <c r="T66" s="26">
        <v>0</v>
      </c>
      <c r="U66" s="65">
        <f t="shared" si="8"/>
        <v>0</v>
      </c>
    </row>
    <row r="67" spans="1:21">
      <c r="A67" s="23"/>
      <c r="B67" s="274" t="s">
        <v>65</v>
      </c>
      <c r="C67" s="275"/>
      <c r="D67" s="275"/>
      <c r="E67" s="275"/>
      <c r="F67" s="276"/>
      <c r="G67" s="463">
        <v>23750</v>
      </c>
      <c r="H67" s="476"/>
      <c r="I67" s="64">
        <v>0</v>
      </c>
      <c r="J67" s="26">
        <v>0</v>
      </c>
      <c r="K67" s="26">
        <v>0</v>
      </c>
      <c r="L67" s="26">
        <v>0</v>
      </c>
      <c r="M67" s="26">
        <v>0</v>
      </c>
      <c r="N67" s="26">
        <v>0</v>
      </c>
      <c r="O67" s="26">
        <v>0</v>
      </c>
      <c r="P67" s="26">
        <v>0</v>
      </c>
      <c r="Q67" s="26">
        <v>0</v>
      </c>
      <c r="R67" s="26">
        <v>0</v>
      </c>
      <c r="S67" s="26">
        <v>0</v>
      </c>
      <c r="T67" s="26">
        <v>0</v>
      </c>
      <c r="U67" s="65">
        <f>R67/G67</f>
        <v>0</v>
      </c>
    </row>
    <row r="68" spans="1:21" ht="15.75" thickBot="1">
      <c r="A68" s="23"/>
      <c r="B68" s="453"/>
      <c r="C68" s="454"/>
      <c r="D68" s="454"/>
      <c r="E68" s="454"/>
      <c r="F68" s="455"/>
      <c r="G68" s="456"/>
      <c r="H68" s="457"/>
      <c r="I68" s="64"/>
      <c r="J68" s="26"/>
      <c r="K68" s="26"/>
      <c r="L68" s="26"/>
      <c r="M68" s="26"/>
      <c r="N68" s="26"/>
      <c r="O68" s="26"/>
      <c r="P68" s="26"/>
      <c r="Q68" s="26"/>
      <c r="R68" s="26"/>
      <c r="S68" s="26"/>
      <c r="T68" s="26"/>
      <c r="U68" s="27"/>
    </row>
    <row r="69" spans="1:21" ht="15.75" thickBot="1">
      <c r="A69" s="23"/>
      <c r="B69" s="257" t="s">
        <v>21</v>
      </c>
      <c r="C69" s="258"/>
      <c r="D69" s="258"/>
      <c r="E69" s="258"/>
      <c r="F69" s="259"/>
      <c r="G69" s="260">
        <f>SUM(G47:H68)</f>
        <v>675408</v>
      </c>
      <c r="H69" s="261"/>
      <c r="I69" s="29">
        <f>SUM(I47:I68)</f>
        <v>42500</v>
      </c>
      <c r="J69" s="29"/>
      <c r="K69" s="29"/>
      <c r="L69" s="29">
        <f>SUM(L47:L68)</f>
        <v>23416.71</v>
      </c>
      <c r="M69" s="29"/>
      <c r="N69" s="29"/>
      <c r="O69" s="29">
        <f>SUM(O47:O68)</f>
        <v>42500</v>
      </c>
      <c r="P69" s="29"/>
      <c r="Q69" s="29"/>
      <c r="R69" s="29">
        <f>SUM(R47:R68)</f>
        <v>23416.71</v>
      </c>
      <c r="S69" s="29"/>
      <c r="T69" s="30"/>
      <c r="U69" s="78">
        <f>R69/G69</f>
        <v>3.4670465851751826E-2</v>
      </c>
    </row>
    <row r="70" spans="1:21" ht="15.75" thickBot="1">
      <c r="A70" s="23"/>
      <c r="B70" s="297"/>
      <c r="C70" s="297"/>
      <c r="D70" s="297"/>
      <c r="E70" s="297"/>
      <c r="F70" s="297"/>
      <c r="G70" s="298"/>
      <c r="H70" s="298"/>
      <c r="I70" s="63"/>
      <c r="J70" s="63"/>
      <c r="K70" s="63"/>
      <c r="L70" s="63"/>
      <c r="M70" s="63"/>
      <c r="N70" s="63"/>
      <c r="O70" s="63"/>
      <c r="P70" s="63"/>
      <c r="Q70" s="63"/>
      <c r="R70" s="63"/>
      <c r="S70" s="63"/>
      <c r="T70" s="63"/>
      <c r="U70" s="72"/>
    </row>
    <row r="71" spans="1:21" ht="15.75" thickBot="1">
      <c r="A71" s="23"/>
      <c r="B71" s="284" t="s">
        <v>30</v>
      </c>
      <c r="C71" s="285"/>
      <c r="D71" s="285"/>
      <c r="E71" s="285"/>
      <c r="F71" s="285"/>
      <c r="G71" s="285"/>
      <c r="H71" s="285"/>
      <c r="I71" s="285"/>
      <c r="J71" s="285"/>
      <c r="K71" s="285"/>
      <c r="L71" s="285"/>
      <c r="M71" s="285"/>
      <c r="N71" s="285"/>
      <c r="O71" s="285"/>
      <c r="P71" s="285"/>
      <c r="Q71" s="285"/>
      <c r="R71" s="285"/>
      <c r="S71" s="285"/>
      <c r="T71" s="285"/>
      <c r="U71" s="286"/>
    </row>
    <row r="72" spans="1:21" ht="15" customHeight="1">
      <c r="A72" s="23"/>
      <c r="B72" s="473" t="s">
        <v>80</v>
      </c>
      <c r="C72" s="474"/>
      <c r="D72" s="474"/>
      <c r="E72" s="474"/>
      <c r="F72" s="475"/>
      <c r="G72" s="471">
        <v>11500</v>
      </c>
      <c r="H72" s="472"/>
      <c r="I72" s="74">
        <v>0</v>
      </c>
      <c r="J72" s="74">
        <v>0</v>
      </c>
      <c r="K72" s="74">
        <v>0</v>
      </c>
      <c r="L72" s="74">
        <v>0</v>
      </c>
      <c r="M72" s="74">
        <v>0</v>
      </c>
      <c r="N72" s="74">
        <v>0</v>
      </c>
      <c r="O72" s="74">
        <v>0</v>
      </c>
      <c r="P72" s="74">
        <v>0</v>
      </c>
      <c r="Q72" s="74">
        <v>0</v>
      </c>
      <c r="R72" s="74">
        <v>0</v>
      </c>
      <c r="S72" s="74">
        <v>0</v>
      </c>
      <c r="T72" s="67">
        <v>0</v>
      </c>
      <c r="U72" s="75">
        <f t="shared" ref="U72:U81" si="9">R72/G72</f>
        <v>0</v>
      </c>
    </row>
    <row r="73" spans="1:21" s="40" customFormat="1">
      <c r="A73" s="152"/>
      <c r="B73" s="274" t="s">
        <v>124</v>
      </c>
      <c r="C73" s="275"/>
      <c r="D73" s="275"/>
      <c r="E73" s="275"/>
      <c r="F73" s="276"/>
      <c r="G73" s="277">
        <v>30000</v>
      </c>
      <c r="H73" s="278"/>
      <c r="I73" s="116">
        <v>0</v>
      </c>
      <c r="J73" s="116">
        <v>0</v>
      </c>
      <c r="K73" s="116">
        <v>0</v>
      </c>
      <c r="L73" s="116">
        <v>0</v>
      </c>
      <c r="M73" s="116">
        <v>0</v>
      </c>
      <c r="N73" s="116">
        <v>0</v>
      </c>
      <c r="O73" s="116">
        <v>0</v>
      </c>
      <c r="P73" s="116">
        <v>0</v>
      </c>
      <c r="Q73" s="116">
        <v>0</v>
      </c>
      <c r="R73" s="116">
        <v>0</v>
      </c>
      <c r="S73" s="116">
        <v>0</v>
      </c>
      <c r="T73" s="117">
        <v>0</v>
      </c>
      <c r="U73" s="153">
        <f t="shared" si="9"/>
        <v>0</v>
      </c>
    </row>
    <row r="74" spans="1:21">
      <c r="A74" s="23"/>
      <c r="B74" s="465" t="s">
        <v>123</v>
      </c>
      <c r="C74" s="466"/>
      <c r="D74" s="466"/>
      <c r="E74" s="466"/>
      <c r="F74" s="467"/>
      <c r="G74" s="463">
        <v>12328</v>
      </c>
      <c r="H74" s="464"/>
      <c r="I74" s="26">
        <v>0</v>
      </c>
      <c r="J74" s="26">
        <v>0</v>
      </c>
      <c r="K74" s="26">
        <v>0</v>
      </c>
      <c r="L74" s="26">
        <v>0</v>
      </c>
      <c r="M74" s="26">
        <v>0</v>
      </c>
      <c r="N74" s="26">
        <v>0</v>
      </c>
      <c r="O74" s="26">
        <v>0</v>
      </c>
      <c r="P74" s="26">
        <v>0</v>
      </c>
      <c r="Q74" s="26">
        <v>0</v>
      </c>
      <c r="R74" s="26">
        <v>0</v>
      </c>
      <c r="S74" s="26">
        <v>0</v>
      </c>
      <c r="T74" s="70">
        <v>0</v>
      </c>
      <c r="U74" s="71">
        <f t="shared" si="9"/>
        <v>0</v>
      </c>
    </row>
    <row r="75" spans="1:21" ht="15" customHeight="1">
      <c r="A75" s="23"/>
      <c r="B75" s="465" t="s">
        <v>66</v>
      </c>
      <c r="C75" s="466"/>
      <c r="D75" s="466"/>
      <c r="E75" s="466"/>
      <c r="F75" s="467"/>
      <c r="G75" s="463">
        <v>16000</v>
      </c>
      <c r="H75" s="464"/>
      <c r="I75" s="26">
        <v>0</v>
      </c>
      <c r="J75" s="26">
        <v>0</v>
      </c>
      <c r="K75" s="26">
        <v>0</v>
      </c>
      <c r="L75" s="26">
        <v>0</v>
      </c>
      <c r="M75" s="26">
        <v>0</v>
      </c>
      <c r="N75" s="26">
        <v>0</v>
      </c>
      <c r="O75" s="26">
        <v>0</v>
      </c>
      <c r="P75" s="26">
        <v>0</v>
      </c>
      <c r="Q75" s="26">
        <v>0</v>
      </c>
      <c r="R75" s="26">
        <v>0</v>
      </c>
      <c r="S75" s="26">
        <v>0</v>
      </c>
      <c r="T75" s="70">
        <v>0</v>
      </c>
      <c r="U75" s="71">
        <f t="shared" si="9"/>
        <v>0</v>
      </c>
    </row>
    <row r="76" spans="1:21" ht="15" customHeight="1">
      <c r="A76" s="23"/>
      <c r="B76" s="465" t="s">
        <v>67</v>
      </c>
      <c r="C76" s="466"/>
      <c r="D76" s="466"/>
      <c r="E76" s="466"/>
      <c r="F76" s="467"/>
      <c r="G76" s="463">
        <v>15000</v>
      </c>
      <c r="H76" s="464"/>
      <c r="I76" s="26">
        <v>0</v>
      </c>
      <c r="J76" s="26">
        <v>0</v>
      </c>
      <c r="K76" s="26">
        <v>0</v>
      </c>
      <c r="L76" s="26">
        <v>0</v>
      </c>
      <c r="M76" s="26">
        <v>0</v>
      </c>
      <c r="N76" s="26">
        <v>0</v>
      </c>
      <c r="O76" s="26">
        <v>0</v>
      </c>
      <c r="P76" s="26">
        <v>0</v>
      </c>
      <c r="Q76" s="26">
        <v>0</v>
      </c>
      <c r="R76" s="26">
        <v>0</v>
      </c>
      <c r="S76" s="26">
        <v>0</v>
      </c>
      <c r="T76" s="70">
        <v>0</v>
      </c>
      <c r="U76" s="71">
        <f t="shared" si="9"/>
        <v>0</v>
      </c>
    </row>
    <row r="77" spans="1:21" ht="15" customHeight="1">
      <c r="A77" s="23"/>
      <c r="B77" s="465" t="s">
        <v>93</v>
      </c>
      <c r="C77" s="466"/>
      <c r="D77" s="466"/>
      <c r="E77" s="466"/>
      <c r="F77" s="467"/>
      <c r="G77" s="463">
        <v>12000</v>
      </c>
      <c r="H77" s="464"/>
      <c r="I77" s="26">
        <v>0</v>
      </c>
      <c r="J77" s="26">
        <v>0</v>
      </c>
      <c r="K77" s="26">
        <v>0</v>
      </c>
      <c r="L77" s="26">
        <v>0</v>
      </c>
      <c r="M77" s="26">
        <v>0</v>
      </c>
      <c r="N77" s="26">
        <v>0</v>
      </c>
      <c r="O77" s="26">
        <v>0</v>
      </c>
      <c r="P77" s="26">
        <v>0</v>
      </c>
      <c r="Q77" s="26">
        <v>0</v>
      </c>
      <c r="R77" s="26">
        <v>0</v>
      </c>
      <c r="S77" s="26">
        <v>0</v>
      </c>
      <c r="T77" s="70">
        <v>0</v>
      </c>
      <c r="U77" s="71">
        <f t="shared" si="9"/>
        <v>0</v>
      </c>
    </row>
    <row r="78" spans="1:21" ht="15" customHeight="1">
      <c r="A78" s="23"/>
      <c r="B78" s="465" t="s">
        <v>69</v>
      </c>
      <c r="C78" s="466"/>
      <c r="D78" s="466"/>
      <c r="E78" s="466"/>
      <c r="F78" s="467"/>
      <c r="G78" s="463">
        <v>4400</v>
      </c>
      <c r="H78" s="464"/>
      <c r="I78" s="26">
        <v>0</v>
      </c>
      <c r="J78" s="26">
        <v>0</v>
      </c>
      <c r="K78" s="26">
        <v>0</v>
      </c>
      <c r="L78" s="26">
        <v>0</v>
      </c>
      <c r="M78" s="26">
        <v>0</v>
      </c>
      <c r="N78" s="26">
        <v>0</v>
      </c>
      <c r="O78" s="26">
        <v>0</v>
      </c>
      <c r="P78" s="26">
        <v>0</v>
      </c>
      <c r="Q78" s="26">
        <v>0</v>
      </c>
      <c r="R78" s="26">
        <v>0</v>
      </c>
      <c r="S78" s="26">
        <v>0</v>
      </c>
      <c r="T78" s="70">
        <v>0</v>
      </c>
      <c r="U78" s="71">
        <f t="shared" ref="U78:U79" si="10">R78/G78</f>
        <v>0</v>
      </c>
    </row>
    <row r="79" spans="1:21" ht="15" customHeight="1">
      <c r="A79" s="23"/>
      <c r="B79" s="465" t="s">
        <v>94</v>
      </c>
      <c r="C79" s="466"/>
      <c r="D79" s="466"/>
      <c r="E79" s="466"/>
      <c r="F79" s="467"/>
      <c r="G79" s="463">
        <v>3200</v>
      </c>
      <c r="H79" s="464"/>
      <c r="I79" s="26">
        <v>0</v>
      </c>
      <c r="J79" s="26">
        <v>0</v>
      </c>
      <c r="K79" s="26">
        <v>0</v>
      </c>
      <c r="L79" s="26">
        <v>0</v>
      </c>
      <c r="M79" s="26">
        <v>0</v>
      </c>
      <c r="N79" s="26">
        <v>0</v>
      </c>
      <c r="O79" s="26">
        <v>0</v>
      </c>
      <c r="P79" s="26">
        <v>0</v>
      </c>
      <c r="Q79" s="26">
        <v>0</v>
      </c>
      <c r="R79" s="26">
        <v>0</v>
      </c>
      <c r="S79" s="26">
        <v>0</v>
      </c>
      <c r="T79" s="70">
        <v>0</v>
      </c>
      <c r="U79" s="71">
        <f t="shared" si="10"/>
        <v>0</v>
      </c>
    </row>
    <row r="80" spans="1:21" ht="15.75" thickBot="1">
      <c r="A80" s="23"/>
      <c r="B80" s="469"/>
      <c r="C80" s="297"/>
      <c r="D80" s="297"/>
      <c r="E80" s="297"/>
      <c r="F80" s="470"/>
      <c r="G80" s="456"/>
      <c r="H80" s="468"/>
      <c r="I80" s="55"/>
      <c r="J80" s="55"/>
      <c r="K80" s="55"/>
      <c r="L80" s="55"/>
      <c r="M80" s="55"/>
      <c r="N80" s="55"/>
      <c r="O80" s="55"/>
      <c r="P80" s="55"/>
      <c r="Q80" s="55"/>
      <c r="R80" s="55"/>
      <c r="S80" s="55"/>
      <c r="T80" s="76"/>
      <c r="U80" s="77"/>
    </row>
    <row r="81" spans="1:22" ht="15.75" thickBot="1">
      <c r="A81" s="23"/>
      <c r="B81" s="257" t="s">
        <v>21</v>
      </c>
      <c r="C81" s="258"/>
      <c r="D81" s="258"/>
      <c r="E81" s="258"/>
      <c r="F81" s="259"/>
      <c r="G81" s="260">
        <f>SUM(G72:H80)</f>
        <v>104428</v>
      </c>
      <c r="H81" s="261"/>
      <c r="I81" s="29">
        <f>SUM(I72:I80)</f>
        <v>0</v>
      </c>
      <c r="J81" s="29"/>
      <c r="K81" s="29"/>
      <c r="L81" s="29">
        <f>SUM(L72:L80)</f>
        <v>0</v>
      </c>
      <c r="M81" s="29"/>
      <c r="N81" s="29"/>
      <c r="O81" s="29">
        <f>SUM(O72:O80)</f>
        <v>0</v>
      </c>
      <c r="P81" s="29"/>
      <c r="Q81" s="29"/>
      <c r="R81" s="29">
        <f>SUM(R72:R80)</f>
        <v>0</v>
      </c>
      <c r="S81" s="30"/>
      <c r="T81" s="73"/>
      <c r="U81" s="71">
        <f t="shared" si="9"/>
        <v>0</v>
      </c>
    </row>
    <row r="82" spans="1:22" ht="15.75" thickBot="1">
      <c r="C82" s="32"/>
      <c r="I82" s="33"/>
      <c r="L82" s="33"/>
      <c r="N82" s="33"/>
      <c r="U82" s="33"/>
    </row>
    <row r="83" spans="1:22" ht="15.75" thickBot="1">
      <c r="B83" s="262" t="s">
        <v>31</v>
      </c>
      <c r="C83" s="263"/>
      <c r="D83" s="263"/>
      <c r="E83" s="263"/>
      <c r="F83" s="263"/>
      <c r="G83" s="263"/>
      <c r="H83" s="263"/>
      <c r="I83" s="263"/>
      <c r="J83" s="263"/>
      <c r="K83" s="263"/>
      <c r="L83" s="263"/>
      <c r="M83" s="263"/>
      <c r="N83" s="263"/>
      <c r="O83" s="263"/>
      <c r="P83" s="263"/>
      <c r="Q83" s="263"/>
      <c r="R83" s="263"/>
      <c r="S83" s="263"/>
      <c r="T83" s="263"/>
      <c r="U83" s="263"/>
      <c r="V83" s="34"/>
    </row>
    <row r="84" spans="1:22" ht="15" customHeight="1" thickBot="1">
      <c r="B84" s="264"/>
      <c r="C84" s="265"/>
      <c r="D84" s="267" t="s">
        <v>15</v>
      </c>
      <c r="E84" s="268"/>
      <c r="F84" s="268"/>
      <c r="G84" s="268"/>
      <c r="H84" s="268"/>
      <c r="I84" s="269"/>
      <c r="J84" s="267" t="s">
        <v>32</v>
      </c>
      <c r="K84" s="268"/>
      <c r="L84" s="268"/>
      <c r="M84" s="268"/>
      <c r="N84" s="268"/>
      <c r="O84" s="269"/>
      <c r="P84" s="267" t="s">
        <v>17</v>
      </c>
      <c r="Q84" s="268"/>
      <c r="R84" s="268"/>
      <c r="S84" s="268"/>
      <c r="T84" s="268"/>
      <c r="U84" s="35"/>
    </row>
    <row r="85" spans="1:22" ht="15.75" customHeight="1" thickBot="1">
      <c r="B85" s="219"/>
      <c r="C85" s="266"/>
      <c r="D85" s="270" t="s">
        <v>26</v>
      </c>
      <c r="E85" s="271"/>
      <c r="F85" s="272" t="s">
        <v>27</v>
      </c>
      <c r="G85" s="273"/>
      <c r="H85" s="268" t="s">
        <v>28</v>
      </c>
      <c r="I85" s="269"/>
      <c r="J85" s="272" t="s">
        <v>26</v>
      </c>
      <c r="K85" s="273"/>
      <c r="L85" s="272" t="s">
        <v>27</v>
      </c>
      <c r="M85" s="273"/>
      <c r="N85" s="268" t="s">
        <v>28</v>
      </c>
      <c r="O85" s="269"/>
      <c r="P85" s="272" t="s">
        <v>26</v>
      </c>
      <c r="Q85" s="273"/>
      <c r="R85" s="272" t="s">
        <v>27</v>
      </c>
      <c r="S85" s="273"/>
      <c r="T85" s="268" t="s">
        <v>28</v>
      </c>
      <c r="U85" s="269"/>
    </row>
    <row r="86" spans="1:22" ht="30" customHeight="1">
      <c r="A86" s="23"/>
      <c r="B86" s="250" t="s">
        <v>33</v>
      </c>
      <c r="C86" s="251"/>
      <c r="D86" s="252">
        <v>675408</v>
      </c>
      <c r="E86" s="253"/>
      <c r="F86" s="252">
        <v>0</v>
      </c>
      <c r="G86" s="253"/>
      <c r="H86" s="252">
        <v>0</v>
      </c>
      <c r="I86" s="253"/>
      <c r="J86" s="254">
        <v>23416.71</v>
      </c>
      <c r="K86" s="255"/>
      <c r="L86" s="240">
        <v>0</v>
      </c>
      <c r="M86" s="253"/>
      <c r="N86" s="240">
        <v>0</v>
      </c>
      <c r="O86" s="256"/>
      <c r="P86" s="254">
        <v>23416.71</v>
      </c>
      <c r="Q86" s="255"/>
      <c r="R86" s="240">
        <v>0</v>
      </c>
      <c r="S86" s="253"/>
      <c r="T86" s="240">
        <v>0</v>
      </c>
      <c r="U86" s="241"/>
    </row>
    <row r="87" spans="1:22" ht="30" customHeight="1" thickBot="1">
      <c r="A87" s="4"/>
      <c r="B87" s="242" t="s">
        <v>34</v>
      </c>
      <c r="C87" s="243"/>
      <c r="D87" s="244">
        <v>104428</v>
      </c>
      <c r="E87" s="245"/>
      <c r="F87" s="244">
        <v>0</v>
      </c>
      <c r="G87" s="245"/>
      <c r="H87" s="244">
        <v>0</v>
      </c>
      <c r="I87" s="245"/>
      <c r="J87" s="244">
        <v>0</v>
      </c>
      <c r="K87" s="245"/>
      <c r="L87" s="246">
        <v>0</v>
      </c>
      <c r="M87" s="245"/>
      <c r="N87" s="246">
        <v>0</v>
      </c>
      <c r="O87" s="247"/>
      <c r="P87" s="248">
        <v>0</v>
      </c>
      <c r="Q87" s="249"/>
      <c r="R87" s="246">
        <v>0</v>
      </c>
      <c r="S87" s="245"/>
      <c r="T87" s="246">
        <v>0</v>
      </c>
      <c r="U87" s="247"/>
    </row>
    <row r="88" spans="1:22" ht="15.75" thickBot="1">
      <c r="A88" s="23"/>
      <c r="B88" s="233" t="s">
        <v>21</v>
      </c>
      <c r="C88" s="234"/>
      <c r="D88" s="235">
        <f>SUM(D86:E87)</f>
        <v>779836</v>
      </c>
      <c r="E88" s="236"/>
      <c r="F88" s="235">
        <f>SUM(F86:G87)</f>
        <v>0</v>
      </c>
      <c r="G88" s="236"/>
      <c r="H88" s="235">
        <f>SUM(H86:I87)</f>
        <v>0</v>
      </c>
      <c r="I88" s="236"/>
      <c r="J88" s="237">
        <f>SUM(J86:K87)</f>
        <v>23416.71</v>
      </c>
      <c r="K88" s="238"/>
      <c r="L88" s="215">
        <f>SUM(L86:M87)</f>
        <v>0</v>
      </c>
      <c r="M88" s="238"/>
      <c r="N88" s="236">
        <f>SUM(N86:O87)</f>
        <v>0</v>
      </c>
      <c r="O88" s="236"/>
      <c r="P88" s="237">
        <f>SUM(P86:Q87)</f>
        <v>23416.71</v>
      </c>
      <c r="Q88" s="239"/>
      <c r="R88" s="215">
        <f>SUM(R86:S87)</f>
        <v>0</v>
      </c>
      <c r="S88" s="238"/>
      <c r="T88" s="215">
        <f>SUM(T86:U87)</f>
        <v>0</v>
      </c>
      <c r="U88" s="216"/>
    </row>
    <row r="89" spans="1:22">
      <c r="A89" s="23"/>
      <c r="B89" s="16"/>
      <c r="C89" s="16"/>
      <c r="D89" s="16"/>
      <c r="E89" s="16"/>
      <c r="F89" s="38"/>
      <c r="G89" s="38"/>
      <c r="H89" s="39"/>
      <c r="I89" s="39"/>
      <c r="J89" s="38"/>
      <c r="K89" s="38"/>
      <c r="L89" s="38"/>
      <c r="M89" s="39"/>
      <c r="N89" s="38"/>
      <c r="O89" s="39"/>
      <c r="P89" s="39"/>
      <c r="Q89" s="38"/>
      <c r="R89" s="23"/>
      <c r="S89" s="23"/>
      <c r="T89" s="23"/>
      <c r="U89" s="23"/>
    </row>
    <row r="90" spans="1:22" ht="15.75" thickBot="1">
      <c r="A90" s="23"/>
      <c r="B90" s="16"/>
      <c r="C90" s="16"/>
      <c r="D90" s="16"/>
      <c r="E90" s="16"/>
      <c r="F90" s="38"/>
      <c r="G90" s="38"/>
      <c r="H90" s="38"/>
      <c r="I90" s="38"/>
      <c r="J90" s="38"/>
      <c r="K90" s="38"/>
      <c r="L90" s="38"/>
      <c r="M90" s="38"/>
      <c r="N90" s="38"/>
      <c r="O90" s="38"/>
      <c r="P90" s="38"/>
      <c r="Q90" s="38"/>
      <c r="R90" s="23"/>
      <c r="S90" s="23"/>
      <c r="T90" s="23"/>
      <c r="U90" s="23"/>
    </row>
    <row r="91" spans="1:22" ht="15.75" thickBot="1">
      <c r="B91" s="217" t="s">
        <v>35</v>
      </c>
      <c r="C91" s="218"/>
      <c r="D91" s="218"/>
      <c r="E91" s="219"/>
      <c r="F91" s="205"/>
      <c r="G91" s="205"/>
      <c r="H91" s="205"/>
      <c r="I91" s="205"/>
      <c r="J91" s="205"/>
      <c r="K91" s="205"/>
      <c r="L91" s="205"/>
      <c r="M91" s="205"/>
      <c r="N91" s="205"/>
      <c r="O91" s="205"/>
      <c r="P91" s="205"/>
      <c r="Q91" s="205"/>
      <c r="R91" s="205"/>
      <c r="S91" s="205"/>
      <c r="T91" s="205"/>
      <c r="U91" s="205"/>
    </row>
    <row r="92" spans="1:22">
      <c r="B92" s="444"/>
      <c r="C92" s="445"/>
      <c r="D92" s="445"/>
      <c r="E92" s="445"/>
      <c r="F92" s="445"/>
      <c r="G92" s="445"/>
      <c r="H92" s="445"/>
      <c r="I92" s="445"/>
      <c r="J92" s="445"/>
      <c r="K92" s="445"/>
      <c r="L92" s="445"/>
      <c r="M92" s="445"/>
      <c r="N92" s="445"/>
      <c r="O92" s="445"/>
      <c r="P92" s="445"/>
      <c r="Q92" s="445"/>
      <c r="R92" s="445"/>
      <c r="S92" s="445"/>
      <c r="T92" s="445"/>
      <c r="U92" s="446"/>
    </row>
    <row r="93" spans="1:22">
      <c r="B93" s="447"/>
      <c r="C93" s="448"/>
      <c r="D93" s="448"/>
      <c r="E93" s="448"/>
      <c r="F93" s="448"/>
      <c r="G93" s="448"/>
      <c r="H93" s="448"/>
      <c r="I93" s="448"/>
      <c r="J93" s="448"/>
      <c r="K93" s="448"/>
      <c r="L93" s="448"/>
      <c r="M93" s="448"/>
      <c r="N93" s="448"/>
      <c r="O93" s="448"/>
      <c r="P93" s="448"/>
      <c r="Q93" s="448"/>
      <c r="R93" s="448"/>
      <c r="S93" s="448"/>
      <c r="T93" s="448"/>
      <c r="U93" s="449"/>
    </row>
    <row r="94" spans="1:22">
      <c r="B94" s="447"/>
      <c r="C94" s="448"/>
      <c r="D94" s="448"/>
      <c r="E94" s="448"/>
      <c r="F94" s="448"/>
      <c r="G94" s="448"/>
      <c r="H94" s="448"/>
      <c r="I94" s="448"/>
      <c r="J94" s="448"/>
      <c r="K94" s="448"/>
      <c r="L94" s="448"/>
      <c r="M94" s="448"/>
      <c r="N94" s="448"/>
      <c r="O94" s="448"/>
      <c r="P94" s="448"/>
      <c r="Q94" s="448"/>
      <c r="R94" s="448"/>
      <c r="S94" s="448"/>
      <c r="T94" s="448"/>
      <c r="U94" s="449"/>
    </row>
    <row r="95" spans="1:22">
      <c r="B95" s="447"/>
      <c r="C95" s="448"/>
      <c r="D95" s="448"/>
      <c r="E95" s="448"/>
      <c r="F95" s="448"/>
      <c r="G95" s="448"/>
      <c r="H95" s="448"/>
      <c r="I95" s="448"/>
      <c r="J95" s="448"/>
      <c r="K95" s="448"/>
      <c r="L95" s="448"/>
      <c r="M95" s="448"/>
      <c r="N95" s="448"/>
      <c r="O95" s="448"/>
      <c r="P95" s="448"/>
      <c r="Q95" s="448"/>
      <c r="R95" s="448"/>
      <c r="S95" s="448"/>
      <c r="T95" s="448"/>
      <c r="U95" s="449"/>
    </row>
    <row r="96" spans="1:22">
      <c r="B96" s="447"/>
      <c r="C96" s="448"/>
      <c r="D96" s="448"/>
      <c r="E96" s="448"/>
      <c r="F96" s="448"/>
      <c r="G96" s="448"/>
      <c r="H96" s="448"/>
      <c r="I96" s="448"/>
      <c r="J96" s="448"/>
      <c r="K96" s="448"/>
      <c r="L96" s="448"/>
      <c r="M96" s="448"/>
      <c r="N96" s="448"/>
      <c r="O96" s="448"/>
      <c r="P96" s="448"/>
      <c r="Q96" s="448"/>
      <c r="R96" s="448"/>
      <c r="S96" s="448"/>
      <c r="T96" s="448"/>
      <c r="U96" s="449"/>
    </row>
    <row r="97" spans="2:21">
      <c r="B97" s="447"/>
      <c r="C97" s="448"/>
      <c r="D97" s="448"/>
      <c r="E97" s="448"/>
      <c r="F97" s="448"/>
      <c r="G97" s="448"/>
      <c r="H97" s="448"/>
      <c r="I97" s="448"/>
      <c r="J97" s="448"/>
      <c r="K97" s="448"/>
      <c r="L97" s="448"/>
      <c r="M97" s="448"/>
      <c r="N97" s="448"/>
      <c r="O97" s="448"/>
      <c r="P97" s="448"/>
      <c r="Q97" s="448"/>
      <c r="R97" s="448"/>
      <c r="S97" s="448"/>
      <c r="T97" s="448"/>
      <c r="U97" s="449"/>
    </row>
    <row r="98" spans="2:21" ht="15.75" thickBot="1">
      <c r="B98" s="450"/>
      <c r="C98" s="451"/>
      <c r="D98" s="451"/>
      <c r="E98" s="451"/>
      <c r="F98" s="451"/>
      <c r="G98" s="451"/>
      <c r="H98" s="451"/>
      <c r="I98" s="451"/>
      <c r="J98" s="451"/>
      <c r="K98" s="451"/>
      <c r="L98" s="451"/>
      <c r="M98" s="451"/>
      <c r="N98" s="451"/>
      <c r="O98" s="451"/>
      <c r="P98" s="451"/>
      <c r="Q98" s="451"/>
      <c r="R98" s="451"/>
      <c r="S98" s="451"/>
      <c r="T98" s="451"/>
      <c r="U98" s="452"/>
    </row>
    <row r="99" spans="2:21">
      <c r="B99" s="23"/>
    </row>
    <row r="100" spans="2:21">
      <c r="H100" s="40"/>
      <c r="I100" s="40"/>
      <c r="O100" s="40"/>
      <c r="Q100" s="40"/>
    </row>
    <row r="101" spans="2:21">
      <c r="B101" s="220" t="s">
        <v>38</v>
      </c>
      <c r="C101" s="220"/>
      <c r="D101" s="220"/>
      <c r="E101" s="220"/>
      <c r="F101" s="220"/>
      <c r="G101" s="220"/>
      <c r="I101" s="41"/>
      <c r="J101" s="213" t="s">
        <v>36</v>
      </c>
      <c r="K101" s="213"/>
      <c r="L101" s="213"/>
      <c r="M101" s="213"/>
      <c r="N101" s="213"/>
      <c r="O101" s="213"/>
      <c r="R101" s="213" t="s">
        <v>37</v>
      </c>
      <c r="S101" s="213"/>
      <c r="T101" s="213"/>
      <c r="U101" s="213"/>
    </row>
    <row r="102" spans="2:21">
      <c r="B102" s="220"/>
      <c r="C102" s="220"/>
      <c r="D102" s="220"/>
      <c r="E102" s="220"/>
      <c r="F102" s="220"/>
      <c r="G102" s="220"/>
      <c r="H102" s="42"/>
      <c r="I102" s="42"/>
      <c r="J102" s="221"/>
      <c r="K102" s="221"/>
      <c r="L102" s="221"/>
      <c r="M102" s="221"/>
      <c r="N102" s="221"/>
      <c r="O102" s="221"/>
      <c r="P102" s="42"/>
      <c r="Q102" s="42"/>
      <c r="R102" s="210" t="s">
        <v>0</v>
      </c>
      <c r="S102" s="210"/>
      <c r="T102" s="210"/>
      <c r="U102" s="210"/>
    </row>
    <row r="103" spans="2:21">
      <c r="B103" s="220"/>
      <c r="C103" s="220"/>
      <c r="D103" s="220"/>
      <c r="E103" s="220"/>
      <c r="F103" s="220"/>
      <c r="G103" s="220"/>
      <c r="H103" s="167"/>
      <c r="I103" s="167"/>
      <c r="J103" s="221"/>
      <c r="K103" s="221"/>
      <c r="L103" s="221"/>
      <c r="M103" s="221"/>
      <c r="N103" s="221"/>
      <c r="O103" s="221"/>
      <c r="P103" s="167"/>
      <c r="Q103" s="167"/>
      <c r="R103" s="210"/>
      <c r="S103" s="210"/>
      <c r="T103" s="210"/>
      <c r="U103" s="210"/>
    </row>
    <row r="104" spans="2:21">
      <c r="B104" s="220"/>
      <c r="C104" s="220"/>
      <c r="D104" s="220"/>
      <c r="E104" s="220"/>
      <c r="F104" s="220"/>
      <c r="G104" s="220"/>
      <c r="H104" s="167"/>
      <c r="I104" s="167"/>
      <c r="J104" s="221"/>
      <c r="K104" s="221"/>
      <c r="L104" s="221"/>
      <c r="M104" s="221"/>
      <c r="N104" s="221"/>
      <c r="O104" s="221"/>
      <c r="P104" s="167"/>
      <c r="Q104" s="167"/>
      <c r="R104" s="210"/>
      <c r="S104" s="210"/>
      <c r="T104" s="210"/>
      <c r="U104" s="210"/>
    </row>
    <row r="105" spans="2:21">
      <c r="B105" s="220"/>
      <c r="C105" s="220"/>
      <c r="D105" s="220"/>
      <c r="E105" s="220"/>
      <c r="F105" s="220"/>
      <c r="G105" s="220"/>
      <c r="H105" s="167"/>
      <c r="I105" s="167"/>
      <c r="J105" s="221"/>
      <c r="K105" s="221"/>
      <c r="L105" s="221"/>
      <c r="M105" s="221"/>
      <c r="N105" s="221"/>
      <c r="O105" s="221"/>
      <c r="P105" s="167"/>
      <c r="Q105" s="167"/>
      <c r="R105" s="210"/>
      <c r="S105" s="210"/>
      <c r="T105" s="210"/>
      <c r="U105" s="210"/>
    </row>
    <row r="106" spans="2:21" ht="15.75" thickBot="1">
      <c r="B106" s="223"/>
      <c r="C106" s="223"/>
      <c r="D106" s="223"/>
      <c r="E106" s="223"/>
      <c r="F106" s="223"/>
      <c r="G106" s="223"/>
      <c r="J106" s="222"/>
      <c r="K106" s="222"/>
      <c r="L106" s="222"/>
      <c r="M106" s="222"/>
      <c r="N106" s="222"/>
      <c r="O106" s="222"/>
      <c r="R106" s="205"/>
      <c r="S106" s="205"/>
      <c r="T106" s="205"/>
      <c r="U106" s="205"/>
    </row>
    <row r="107" spans="2:21">
      <c r="B107" s="210" t="s">
        <v>101</v>
      </c>
      <c r="C107" s="210"/>
      <c r="D107" s="210"/>
      <c r="E107" s="210"/>
      <c r="F107" s="210"/>
      <c r="G107" s="210"/>
      <c r="J107" s="204" t="s">
        <v>102</v>
      </c>
      <c r="K107" s="204"/>
      <c r="L107" s="204"/>
      <c r="M107" s="204"/>
      <c r="N107" s="204"/>
      <c r="O107" s="204"/>
      <c r="R107" s="211" t="s">
        <v>136</v>
      </c>
      <c r="S107" s="211"/>
      <c r="T107" s="211"/>
      <c r="U107" s="211"/>
    </row>
    <row r="108" spans="2:21">
      <c r="B108" s="204" t="s">
        <v>103</v>
      </c>
      <c r="C108" s="204"/>
      <c r="D108" s="204"/>
      <c r="E108" s="204"/>
      <c r="F108" s="204"/>
      <c r="G108" s="204"/>
      <c r="J108" s="212" t="s">
        <v>104</v>
      </c>
      <c r="K108" s="212"/>
      <c r="L108" s="212"/>
      <c r="M108" s="212"/>
      <c r="N108" s="212"/>
      <c r="O108" s="212"/>
      <c r="P108" s="118"/>
      <c r="Q108" s="118"/>
      <c r="R108" s="212" t="s">
        <v>105</v>
      </c>
      <c r="S108" s="212"/>
      <c r="T108" s="212"/>
      <c r="U108" s="212"/>
    </row>
    <row r="110" spans="2:21">
      <c r="J110" s="213" t="s">
        <v>50</v>
      </c>
      <c r="K110" s="213"/>
      <c r="L110" s="213"/>
      <c r="M110" s="213"/>
      <c r="N110" s="213"/>
      <c r="O110" s="213"/>
    </row>
    <row r="111" spans="2:21">
      <c r="C111" s="214" t="s">
        <v>157</v>
      </c>
      <c r="D111" s="214"/>
      <c r="E111" s="214"/>
      <c r="F111" s="214"/>
      <c r="J111" s="206" t="s">
        <v>48</v>
      </c>
      <c r="K111" s="206"/>
      <c r="L111" s="206"/>
      <c r="M111" s="206"/>
      <c r="N111" s="206"/>
      <c r="O111" s="206"/>
      <c r="R111" s="206" t="s">
        <v>51</v>
      </c>
      <c r="S111" s="206"/>
      <c r="T111" s="206"/>
      <c r="U111" s="206"/>
    </row>
    <row r="112" spans="2:21">
      <c r="B112" s="204"/>
      <c r="C112" s="204"/>
      <c r="D112" s="204"/>
      <c r="E112" s="204"/>
      <c r="F112" s="204"/>
      <c r="G112" s="204"/>
      <c r="J112" s="206"/>
      <c r="K112" s="206"/>
      <c r="L112" s="206"/>
      <c r="M112" s="206"/>
      <c r="N112" s="206"/>
      <c r="O112" s="206"/>
      <c r="R112" s="204"/>
      <c r="S112" s="204"/>
      <c r="T112" s="204"/>
      <c r="U112" s="204"/>
    </row>
    <row r="113" spans="2:21">
      <c r="B113" s="204"/>
      <c r="C113" s="204"/>
      <c r="D113" s="204"/>
      <c r="E113" s="204"/>
      <c r="F113" s="204"/>
      <c r="G113" s="204"/>
      <c r="J113" s="206"/>
      <c r="K113" s="206"/>
      <c r="L113" s="206"/>
      <c r="M113" s="206"/>
      <c r="N113" s="206"/>
      <c r="O113" s="206"/>
      <c r="R113" s="204"/>
      <c r="S113" s="204"/>
      <c r="T113" s="204"/>
      <c r="U113" s="204"/>
    </row>
    <row r="114" spans="2:21">
      <c r="B114" s="204"/>
      <c r="C114" s="204"/>
      <c r="D114" s="204"/>
      <c r="E114" s="204"/>
      <c r="F114" s="204"/>
      <c r="G114" s="204"/>
      <c r="J114" s="206"/>
      <c r="K114" s="206"/>
      <c r="L114" s="206"/>
      <c r="M114" s="206"/>
      <c r="N114" s="206"/>
      <c r="O114" s="206"/>
      <c r="R114" s="204"/>
      <c r="S114" s="204"/>
      <c r="T114" s="204"/>
      <c r="U114" s="204"/>
    </row>
    <row r="115" spans="2:21" ht="15.75" thickBot="1">
      <c r="B115" s="205"/>
      <c r="C115" s="205"/>
      <c r="D115" s="205"/>
      <c r="E115" s="205"/>
      <c r="F115" s="205"/>
      <c r="G115" s="205"/>
      <c r="H115" s="51"/>
      <c r="I115" s="51"/>
      <c r="J115" s="207"/>
      <c r="K115" s="207"/>
      <c r="L115" s="207"/>
      <c r="M115" s="207"/>
      <c r="N115" s="207"/>
      <c r="O115" s="207"/>
      <c r="P115" s="51"/>
      <c r="Q115" s="51"/>
      <c r="R115" s="205"/>
      <c r="S115" s="205"/>
      <c r="T115" s="205"/>
      <c r="U115" s="205"/>
    </row>
    <row r="116" spans="2:21">
      <c r="B116" s="208" t="s">
        <v>106</v>
      </c>
      <c r="C116" s="208"/>
      <c r="D116" s="208"/>
      <c r="E116" s="208"/>
      <c r="F116" s="208"/>
      <c r="G116" s="208"/>
      <c r="H116" s="119"/>
      <c r="I116" s="119"/>
      <c r="J116" s="208" t="s">
        <v>107</v>
      </c>
      <c r="K116" s="208"/>
      <c r="L116" s="208"/>
      <c r="M116" s="208"/>
      <c r="N116" s="208"/>
      <c r="O116" s="208"/>
      <c r="P116" s="51"/>
      <c r="Q116" s="51"/>
      <c r="R116" s="208" t="s">
        <v>108</v>
      </c>
      <c r="S116" s="208"/>
      <c r="T116" s="208"/>
      <c r="U116" s="208"/>
    </row>
    <row r="117" spans="2:21" ht="32.25" customHeight="1">
      <c r="B117" s="209" t="s">
        <v>109</v>
      </c>
      <c r="C117" s="209"/>
      <c r="D117" s="209"/>
      <c r="E117" s="209"/>
      <c r="F117" s="209"/>
      <c r="G117" s="209"/>
      <c r="J117" s="209" t="s">
        <v>110</v>
      </c>
      <c r="K117" s="209"/>
      <c r="L117" s="209"/>
      <c r="M117" s="209"/>
      <c r="N117" s="209"/>
      <c r="O117" s="209"/>
      <c r="R117" s="209" t="s">
        <v>111</v>
      </c>
      <c r="S117" s="209"/>
      <c r="T117" s="209"/>
      <c r="U117" s="209"/>
    </row>
    <row r="119" spans="2:21" ht="23.25">
      <c r="B119" s="482" t="s">
        <v>70</v>
      </c>
      <c r="C119" s="482"/>
      <c r="D119" s="482"/>
      <c r="E119" s="482"/>
      <c r="F119" s="482"/>
      <c r="G119" s="482"/>
      <c r="H119" s="482"/>
      <c r="I119" s="482"/>
      <c r="J119" s="482"/>
      <c r="K119" s="482"/>
      <c r="L119" s="482"/>
      <c r="M119" s="482"/>
      <c r="N119" s="482"/>
      <c r="O119" s="482"/>
      <c r="P119" s="482"/>
      <c r="Q119" s="482"/>
      <c r="R119" s="482"/>
      <c r="S119" s="482"/>
      <c r="T119" s="482"/>
      <c r="U119" s="482"/>
    </row>
    <row r="122" spans="2:21" ht="15" customHeight="1"/>
    <row r="123" spans="2:21" ht="15" customHeight="1">
      <c r="F123" s="1"/>
      <c r="G123" s="1"/>
      <c r="H123" s="1"/>
      <c r="I123" s="1"/>
      <c r="J123" s="1"/>
      <c r="K123" s="1"/>
      <c r="L123" s="1"/>
      <c r="M123" s="1"/>
      <c r="N123" s="1"/>
      <c r="O123" s="1"/>
    </row>
    <row r="124" spans="2:21" ht="15" customHeight="1">
      <c r="F124" s="1"/>
      <c r="G124" s="1"/>
      <c r="H124" s="1"/>
      <c r="I124" s="1"/>
      <c r="J124" s="1"/>
      <c r="K124" s="1"/>
      <c r="L124" s="1"/>
      <c r="M124" s="1"/>
      <c r="N124" s="1"/>
      <c r="O124" s="1"/>
    </row>
    <row r="125" spans="2:21" ht="15" customHeight="1">
      <c r="B125" s="427" t="s">
        <v>125</v>
      </c>
      <c r="C125" s="427"/>
      <c r="D125" s="427"/>
      <c r="E125" s="427"/>
      <c r="F125" s="427"/>
      <c r="G125" s="427"/>
      <c r="H125" s="427"/>
      <c r="I125" s="427"/>
      <c r="J125" s="427"/>
      <c r="K125" s="427"/>
      <c r="L125" s="427"/>
      <c r="M125" s="427"/>
      <c r="N125" s="427"/>
      <c r="O125" s="427"/>
      <c r="P125" s="427"/>
      <c r="Q125" s="427"/>
      <c r="R125" s="427"/>
      <c r="S125" s="427"/>
      <c r="T125" s="427"/>
      <c r="U125" s="427"/>
    </row>
    <row r="126" spans="2:21" ht="15" customHeight="1">
      <c r="F126" t="s">
        <v>0</v>
      </c>
    </row>
    <row r="127" spans="2:21" ht="15" customHeight="1">
      <c r="B127" s="2"/>
      <c r="C127" s="2"/>
      <c r="D127" s="2"/>
      <c r="E127" s="2"/>
      <c r="F127" s="2"/>
      <c r="G127" s="2"/>
      <c r="H127" s="2"/>
      <c r="I127" s="2"/>
      <c r="J127" s="2"/>
      <c r="K127" s="2"/>
      <c r="L127" s="2"/>
      <c r="M127" s="2"/>
      <c r="N127" s="2"/>
      <c r="O127" s="2"/>
      <c r="P127" s="2"/>
      <c r="Q127" s="2"/>
      <c r="R127" s="2"/>
      <c r="S127" s="2"/>
      <c r="T127" s="2"/>
      <c r="U127" s="2"/>
    </row>
    <row r="128" spans="2:21" ht="15" customHeight="1" thickBot="1">
      <c r="B128" s="3"/>
      <c r="C128" s="3"/>
      <c r="D128" s="3"/>
      <c r="E128" s="3"/>
      <c r="F128" s="3"/>
      <c r="G128" s="3"/>
      <c r="H128" s="3"/>
      <c r="I128" s="3"/>
      <c r="J128" s="3"/>
      <c r="K128" s="3"/>
      <c r="L128" s="3"/>
      <c r="M128" s="3"/>
      <c r="N128" s="3"/>
      <c r="O128" s="3"/>
      <c r="P128" s="3"/>
      <c r="Q128" s="3"/>
      <c r="R128" s="3"/>
      <c r="S128" s="3"/>
      <c r="T128" s="3"/>
      <c r="U128" s="3"/>
    </row>
    <row r="129" spans="1:27" ht="15" customHeight="1">
      <c r="B129" s="385" t="s">
        <v>1</v>
      </c>
      <c r="C129" s="386"/>
      <c r="D129" s="386"/>
      <c r="E129" s="386"/>
      <c r="F129" s="387"/>
      <c r="G129" s="428" t="s">
        <v>164</v>
      </c>
      <c r="H129" s="429"/>
      <c r="I129" s="429"/>
      <c r="J129" s="429"/>
      <c r="K129" s="429"/>
      <c r="L129" s="429"/>
      <c r="M129" s="429"/>
      <c r="N129" s="429"/>
      <c r="O129" s="429"/>
      <c r="P129" s="429"/>
      <c r="Q129" s="429"/>
      <c r="R129" s="429"/>
      <c r="S129" s="429"/>
      <c r="T129" s="429"/>
      <c r="U129" s="430"/>
    </row>
    <row r="130" spans="1:27" ht="15" customHeight="1">
      <c r="A130" s="4"/>
      <c r="B130" s="431" t="s">
        <v>2</v>
      </c>
      <c r="C130" s="432"/>
      <c r="D130" s="432"/>
      <c r="E130" s="432"/>
      <c r="F130" s="433"/>
      <c r="G130" s="434" t="s">
        <v>163</v>
      </c>
      <c r="H130" s="435"/>
      <c r="I130" s="435"/>
      <c r="J130" s="435"/>
      <c r="K130" s="435"/>
      <c r="L130" s="435"/>
      <c r="M130" s="435"/>
      <c r="N130" s="435"/>
      <c r="O130" s="435"/>
      <c r="P130" s="435"/>
      <c r="Q130" s="435"/>
      <c r="R130" s="435"/>
      <c r="S130" s="435"/>
      <c r="T130" s="435"/>
      <c r="U130" s="436"/>
    </row>
    <row r="131" spans="1:27" ht="15" customHeight="1">
      <c r="A131" s="4"/>
      <c r="B131" s="385" t="s">
        <v>3</v>
      </c>
      <c r="C131" s="386"/>
      <c r="D131" s="386"/>
      <c r="E131" s="386"/>
      <c r="F131" s="387"/>
      <c r="G131" s="437" t="s">
        <v>156</v>
      </c>
      <c r="H131" s="438"/>
      <c r="I131" s="438"/>
      <c r="J131" s="438"/>
      <c r="K131" s="438"/>
      <c r="L131" s="438"/>
      <c r="M131" s="438"/>
      <c r="N131" s="438"/>
      <c r="O131" s="438"/>
      <c r="P131" s="438"/>
      <c r="Q131" s="438"/>
      <c r="R131" s="438"/>
      <c r="S131" s="438"/>
      <c r="T131" s="438"/>
      <c r="U131" s="439"/>
    </row>
    <row r="132" spans="1:27" ht="15" customHeight="1">
      <c r="A132" s="4"/>
      <c r="B132" s="385" t="s">
        <v>4</v>
      </c>
      <c r="C132" s="386"/>
      <c r="D132" s="386"/>
      <c r="E132" s="386"/>
      <c r="F132" s="387"/>
      <c r="G132" s="440" t="s">
        <v>165</v>
      </c>
      <c r="H132" s="441"/>
      <c r="I132" s="441"/>
      <c r="J132" s="441"/>
      <c r="K132" s="441"/>
      <c r="L132" s="441"/>
      <c r="M132" s="441"/>
      <c r="N132" s="441"/>
      <c r="O132" s="441"/>
      <c r="P132" s="441"/>
      <c r="Q132" s="441"/>
      <c r="R132" s="441"/>
      <c r="S132" s="441"/>
      <c r="T132" s="441"/>
      <c r="U132" s="442"/>
    </row>
    <row r="133" spans="1:27" ht="15" customHeight="1">
      <c r="A133" s="4"/>
      <c r="B133" s="385" t="s">
        <v>5</v>
      </c>
      <c r="C133" s="386"/>
      <c r="D133" s="386"/>
      <c r="E133" s="386"/>
      <c r="F133" s="387"/>
      <c r="G133" s="410" t="s">
        <v>6</v>
      </c>
      <c r="H133" s="411"/>
      <c r="I133" s="412">
        <v>779836</v>
      </c>
      <c r="J133" s="413"/>
      <c r="K133" s="413"/>
      <c r="L133" s="414"/>
      <c r="M133" s="5" t="s">
        <v>7</v>
      </c>
      <c r="N133" s="412">
        <v>0</v>
      </c>
      <c r="O133" s="413"/>
      <c r="P133" s="413"/>
      <c r="Q133" s="414"/>
      <c r="R133" s="415" t="s">
        <v>8</v>
      </c>
      <c r="S133" s="416"/>
      <c r="T133" s="412">
        <v>0</v>
      </c>
      <c r="U133" s="417"/>
    </row>
    <row r="134" spans="1:27">
      <c r="A134" s="4"/>
      <c r="B134" s="385" t="s">
        <v>9</v>
      </c>
      <c r="C134" s="386"/>
      <c r="D134" s="386"/>
      <c r="E134" s="386"/>
      <c r="F134" s="387"/>
      <c r="G134" s="418" t="s">
        <v>6</v>
      </c>
      <c r="H134" s="419"/>
      <c r="I134" s="412">
        <v>0</v>
      </c>
      <c r="J134" s="413"/>
      <c r="K134" s="413"/>
      <c r="L134" s="414"/>
      <c r="M134" s="5" t="s">
        <v>7</v>
      </c>
      <c r="N134" s="420">
        <v>0</v>
      </c>
      <c r="O134" s="421"/>
      <c r="P134" s="421"/>
      <c r="Q134" s="422"/>
      <c r="R134" s="423"/>
      <c r="S134" s="424"/>
      <c r="T134" s="424"/>
      <c r="U134" s="425"/>
    </row>
    <row r="135" spans="1:27" ht="15.75" thickBot="1">
      <c r="A135" s="4"/>
      <c r="B135" s="385" t="s">
        <v>10</v>
      </c>
      <c r="C135" s="386"/>
      <c r="D135" s="386"/>
      <c r="E135" s="386"/>
      <c r="F135" s="387"/>
      <c r="G135" s="460" t="s">
        <v>71</v>
      </c>
      <c r="H135" s="461"/>
      <c r="I135" s="461"/>
      <c r="J135" s="461"/>
      <c r="K135" s="461"/>
      <c r="L135" s="461"/>
      <c r="M135" s="461"/>
      <c r="N135" s="461"/>
      <c r="O135" s="461"/>
      <c r="P135" s="461"/>
      <c r="Q135" s="461"/>
      <c r="R135" s="461"/>
      <c r="S135" s="461"/>
      <c r="T135" s="461"/>
      <c r="U135" s="462"/>
    </row>
    <row r="136" spans="1:27" ht="15.75" customHeight="1" thickBot="1">
      <c r="A136" s="4"/>
      <c r="B136" s="391" t="s">
        <v>11</v>
      </c>
      <c r="C136" s="392"/>
      <c r="D136" s="392"/>
      <c r="E136" s="392"/>
      <c r="F136" s="393"/>
      <c r="G136" s="394" t="s">
        <v>118</v>
      </c>
      <c r="H136" s="395"/>
      <c r="I136" s="395"/>
      <c r="J136" s="395"/>
      <c r="K136" s="395"/>
      <c r="L136" s="395"/>
      <c r="M136" s="395"/>
      <c r="N136" s="395"/>
      <c r="O136" s="395"/>
      <c r="P136" s="395"/>
      <c r="Q136" s="395"/>
      <c r="R136" s="395"/>
      <c r="S136" s="395"/>
      <c r="T136" s="395"/>
      <c r="U136" s="396"/>
    </row>
    <row r="137" spans="1:27" ht="15.75" thickBot="1">
      <c r="B137" s="397"/>
      <c r="C137" s="397"/>
      <c r="D137" s="397"/>
      <c r="E137" s="397"/>
      <c r="F137" s="397"/>
      <c r="G137" s="397"/>
      <c r="H137" s="397"/>
      <c r="I137" s="397"/>
      <c r="J137" s="397"/>
      <c r="K137" s="397"/>
      <c r="L137" s="397"/>
      <c r="M137" s="397"/>
      <c r="N137" s="397"/>
      <c r="O137" s="397"/>
      <c r="P137" s="397"/>
      <c r="Q137" s="397"/>
      <c r="R137" s="397"/>
      <c r="S137" s="397"/>
      <c r="T137" s="397"/>
      <c r="U137" s="397"/>
    </row>
    <row r="138" spans="1:27" ht="16.5" thickBot="1">
      <c r="A138" s="4"/>
      <c r="B138" s="306" t="s">
        <v>12</v>
      </c>
      <c r="C138" s="307"/>
      <c r="D138" s="308"/>
      <c r="E138" s="307" t="s">
        <v>13</v>
      </c>
      <c r="F138" s="308"/>
      <c r="G138" s="312" t="s">
        <v>14</v>
      </c>
      <c r="H138" s="313"/>
      <c r="I138" s="313"/>
      <c r="J138" s="313"/>
      <c r="K138" s="313"/>
      <c r="L138" s="313"/>
      <c r="M138" s="313"/>
      <c r="N138" s="313"/>
      <c r="O138" s="313"/>
      <c r="P138" s="313"/>
      <c r="Q138" s="313"/>
      <c r="R138" s="313"/>
      <c r="S138" s="313"/>
      <c r="T138" s="313"/>
      <c r="U138" s="314"/>
    </row>
    <row r="139" spans="1:27" ht="15.75" thickBot="1">
      <c r="A139" s="4"/>
      <c r="B139" s="309"/>
      <c r="C139" s="310"/>
      <c r="D139" s="311"/>
      <c r="E139" s="310"/>
      <c r="F139" s="311"/>
      <c r="G139" s="315" t="s">
        <v>15</v>
      </c>
      <c r="H139" s="316"/>
      <c r="I139" s="267" t="s">
        <v>16</v>
      </c>
      <c r="J139" s="268"/>
      <c r="K139" s="268"/>
      <c r="L139" s="268"/>
      <c r="M139" s="268"/>
      <c r="N139" s="269"/>
      <c r="O139" s="403" t="s">
        <v>17</v>
      </c>
      <c r="P139" s="404"/>
      <c r="Q139" s="404"/>
      <c r="R139" s="404"/>
      <c r="S139" s="404"/>
      <c r="T139" s="404"/>
      <c r="U139" s="405"/>
    </row>
    <row r="140" spans="1:27">
      <c r="A140" s="4"/>
      <c r="B140" s="309"/>
      <c r="C140" s="310"/>
      <c r="D140" s="311"/>
      <c r="E140" s="310"/>
      <c r="F140" s="311"/>
      <c r="G140" s="317"/>
      <c r="H140" s="318"/>
      <c r="I140" s="315" t="s">
        <v>18</v>
      </c>
      <c r="J140" s="406"/>
      <c r="K140" s="406"/>
      <c r="L140" s="315" t="s">
        <v>19</v>
      </c>
      <c r="M140" s="406"/>
      <c r="N140" s="316"/>
      <c r="O140" s="408" t="s">
        <v>18</v>
      </c>
      <c r="P140" s="409"/>
      <c r="Q140" s="409"/>
      <c r="R140" s="315" t="s">
        <v>19</v>
      </c>
      <c r="S140" s="406"/>
      <c r="T140" s="406"/>
      <c r="U140" s="326" t="s">
        <v>20</v>
      </c>
      <c r="V140" s="200" t="s">
        <v>153</v>
      </c>
      <c r="W140" s="201"/>
      <c r="X140" s="200" t="s">
        <v>154</v>
      </c>
      <c r="Y140" s="201"/>
      <c r="Z140" s="200" t="s">
        <v>155</v>
      </c>
      <c r="AA140" s="201"/>
    </row>
    <row r="141" spans="1:27" ht="15.75" thickBot="1">
      <c r="A141" s="4"/>
      <c r="B141" s="398"/>
      <c r="C141" s="399"/>
      <c r="D141" s="400"/>
      <c r="E141" s="399"/>
      <c r="F141" s="400"/>
      <c r="G141" s="401"/>
      <c r="H141" s="402"/>
      <c r="I141" s="401"/>
      <c r="J141" s="407"/>
      <c r="K141" s="407"/>
      <c r="L141" s="401"/>
      <c r="M141" s="407"/>
      <c r="N141" s="402"/>
      <c r="O141" s="401"/>
      <c r="P141" s="407"/>
      <c r="Q141" s="407"/>
      <c r="R141" s="401"/>
      <c r="S141" s="407"/>
      <c r="T141" s="407"/>
      <c r="U141" s="327"/>
      <c r="V141" s="202"/>
      <c r="W141" s="203"/>
      <c r="X141" s="202"/>
      <c r="Y141" s="203"/>
      <c r="Z141" s="202"/>
      <c r="AA141" s="203"/>
    </row>
    <row r="142" spans="1:27">
      <c r="A142" s="4"/>
      <c r="B142" s="372" t="s">
        <v>59</v>
      </c>
      <c r="C142" s="373"/>
      <c r="D142" s="374"/>
      <c r="E142" s="375"/>
      <c r="F142" s="376"/>
      <c r="G142" s="377"/>
      <c r="H142" s="378"/>
      <c r="I142" s="379"/>
      <c r="J142" s="380"/>
      <c r="K142" s="378"/>
      <c r="L142" s="381"/>
      <c r="M142" s="380"/>
      <c r="N142" s="382"/>
      <c r="O142" s="383"/>
      <c r="P142" s="384"/>
      <c r="Q142" s="384"/>
      <c r="R142" s="384"/>
      <c r="S142" s="384"/>
      <c r="T142" s="384"/>
      <c r="U142" s="53"/>
    </row>
    <row r="143" spans="1:27">
      <c r="A143" s="4"/>
      <c r="B143" s="354" t="s">
        <v>76</v>
      </c>
      <c r="C143" s="362"/>
      <c r="D143" s="363"/>
      <c r="E143" s="364"/>
      <c r="F143" s="365"/>
      <c r="G143" s="366"/>
      <c r="H143" s="367"/>
      <c r="I143" s="371"/>
      <c r="J143" s="370"/>
      <c r="K143" s="370"/>
      <c r="L143" s="370"/>
      <c r="M143" s="370"/>
      <c r="N143" s="365"/>
      <c r="O143" s="371"/>
      <c r="P143" s="370"/>
      <c r="Q143" s="370"/>
      <c r="R143" s="370"/>
      <c r="S143" s="370"/>
      <c r="T143" s="370"/>
      <c r="U143" s="56"/>
    </row>
    <row r="144" spans="1:27">
      <c r="A144" s="4"/>
      <c r="B144" s="328" t="s">
        <v>56</v>
      </c>
      <c r="C144" s="329"/>
      <c r="D144" s="330"/>
      <c r="E144" s="331" t="s">
        <v>58</v>
      </c>
      <c r="F144" s="332"/>
      <c r="G144" s="348">
        <v>170</v>
      </c>
      <c r="H144" s="359"/>
      <c r="I144" s="350">
        <v>0</v>
      </c>
      <c r="J144" s="351"/>
      <c r="K144" s="349"/>
      <c r="L144" s="350">
        <v>0</v>
      </c>
      <c r="M144" s="351"/>
      <c r="N144" s="352"/>
      <c r="O144" s="353">
        <v>170</v>
      </c>
      <c r="P144" s="351"/>
      <c r="Q144" s="349"/>
      <c r="R144" s="350">
        <v>170</v>
      </c>
      <c r="S144" s="351"/>
      <c r="T144" s="349"/>
      <c r="U144" s="6">
        <f t="shared" ref="U144" si="11">R144/G144</f>
        <v>1</v>
      </c>
      <c r="V144" s="193">
        <f>+I144+O23</f>
        <v>170</v>
      </c>
      <c r="W144" s="193">
        <f>+O144-V144</f>
        <v>0</v>
      </c>
      <c r="X144" s="193">
        <f>+L144+R23</f>
        <v>170</v>
      </c>
      <c r="Y144" s="193">
        <f>+R144-X144</f>
        <v>0</v>
      </c>
      <c r="Z144" s="195">
        <f>+X144/G144</f>
        <v>1</v>
      </c>
      <c r="AA144" s="194">
        <f>+U144-Z144</f>
        <v>0</v>
      </c>
    </row>
    <row r="145" spans="1:27">
      <c r="A145" s="4"/>
      <c r="B145" s="328" t="s">
        <v>57</v>
      </c>
      <c r="C145" s="329"/>
      <c r="D145" s="330"/>
      <c r="E145" s="331" t="s">
        <v>58</v>
      </c>
      <c r="F145" s="332"/>
      <c r="G145" s="348">
        <v>4405</v>
      </c>
      <c r="H145" s="349"/>
      <c r="I145" s="350">
        <v>340</v>
      </c>
      <c r="J145" s="351"/>
      <c r="K145" s="349"/>
      <c r="L145" s="350">
        <v>339</v>
      </c>
      <c r="M145" s="351"/>
      <c r="N145" s="352"/>
      <c r="O145" s="353">
        <f>340+340</f>
        <v>680</v>
      </c>
      <c r="P145" s="351"/>
      <c r="Q145" s="349"/>
      <c r="R145" s="350">
        <f>339+339</f>
        <v>678</v>
      </c>
      <c r="S145" s="351"/>
      <c r="T145" s="349"/>
      <c r="U145" s="54">
        <f>R145/G145</f>
        <v>0.15391600454029511</v>
      </c>
      <c r="V145" s="193">
        <f>+I145+O24</f>
        <v>680</v>
      </c>
      <c r="W145" s="193">
        <f>+O145-V145</f>
        <v>0</v>
      </c>
      <c r="X145" s="193">
        <f>+L145+R24</f>
        <v>678</v>
      </c>
      <c r="Y145" s="193">
        <f>+R145-X145</f>
        <v>0</v>
      </c>
      <c r="Z145" s="195">
        <f>+X145/G145</f>
        <v>0.15391600454029511</v>
      </c>
      <c r="AA145" s="194">
        <f>+U145-Z145</f>
        <v>0</v>
      </c>
    </row>
    <row r="146" spans="1:27" ht="15" customHeight="1">
      <c r="A146" s="4"/>
      <c r="B146" s="354" t="s">
        <v>77</v>
      </c>
      <c r="C146" s="362"/>
      <c r="D146" s="363"/>
      <c r="E146" s="364"/>
      <c r="F146" s="365"/>
      <c r="G146" s="366"/>
      <c r="H146" s="367"/>
      <c r="I146" s="371"/>
      <c r="J146" s="370"/>
      <c r="K146" s="370"/>
      <c r="L146" s="370"/>
      <c r="M146" s="370"/>
      <c r="N146" s="365"/>
      <c r="O146" s="371"/>
      <c r="P146" s="370"/>
      <c r="Q146" s="370"/>
      <c r="R146" s="370"/>
      <c r="S146" s="370"/>
      <c r="T146" s="370"/>
      <c r="U146" s="56"/>
    </row>
    <row r="147" spans="1:27">
      <c r="A147" s="4"/>
      <c r="B147" s="328" t="s">
        <v>56</v>
      </c>
      <c r="C147" s="329"/>
      <c r="D147" s="330"/>
      <c r="E147" s="331" t="s">
        <v>58</v>
      </c>
      <c r="F147" s="332"/>
      <c r="G147" s="348">
        <v>35</v>
      </c>
      <c r="H147" s="359"/>
      <c r="I147" s="350">
        <v>0</v>
      </c>
      <c r="J147" s="351"/>
      <c r="K147" s="349"/>
      <c r="L147" s="350">
        <v>0</v>
      </c>
      <c r="M147" s="351"/>
      <c r="N147" s="352"/>
      <c r="O147" s="353">
        <v>35</v>
      </c>
      <c r="P147" s="351"/>
      <c r="Q147" s="349"/>
      <c r="R147" s="350">
        <v>35</v>
      </c>
      <c r="S147" s="351"/>
      <c r="T147" s="349"/>
      <c r="U147" s="6">
        <f t="shared" ref="U147" si="12">R147/G147</f>
        <v>1</v>
      </c>
      <c r="V147" s="193">
        <f t="shared" ref="V147:V148" si="13">+I147+O26</f>
        <v>35</v>
      </c>
      <c r="W147" s="193">
        <f t="shared" ref="W147:W148" si="14">+O147-V147</f>
        <v>0</v>
      </c>
      <c r="X147" s="193">
        <f t="shared" ref="X147:X148" si="15">+L147+R26</f>
        <v>35</v>
      </c>
      <c r="Y147" s="193">
        <f t="shared" ref="Y147:Y148" si="16">+R147-X147</f>
        <v>0</v>
      </c>
      <c r="Z147" s="195">
        <f t="shared" ref="Z147:Z148" si="17">+X147/G147</f>
        <v>1</v>
      </c>
      <c r="AA147" s="194">
        <f t="shared" ref="AA147:AA148" si="18">+U147-Z147</f>
        <v>0</v>
      </c>
    </row>
    <row r="148" spans="1:27">
      <c r="A148" s="4"/>
      <c r="B148" s="328" t="s">
        <v>57</v>
      </c>
      <c r="C148" s="329"/>
      <c r="D148" s="330"/>
      <c r="E148" s="331" t="s">
        <v>58</v>
      </c>
      <c r="F148" s="332"/>
      <c r="G148" s="348">
        <v>907</v>
      </c>
      <c r="H148" s="349"/>
      <c r="I148" s="350">
        <v>70</v>
      </c>
      <c r="J148" s="351"/>
      <c r="K148" s="349"/>
      <c r="L148" s="350">
        <v>70</v>
      </c>
      <c r="M148" s="351"/>
      <c r="N148" s="352"/>
      <c r="O148" s="353">
        <f>70+70</f>
        <v>140</v>
      </c>
      <c r="P148" s="351"/>
      <c r="Q148" s="349"/>
      <c r="R148" s="350">
        <f>70+70</f>
        <v>140</v>
      </c>
      <c r="S148" s="351"/>
      <c r="T148" s="349"/>
      <c r="U148" s="54">
        <f>R148/G148</f>
        <v>0.15435501653803749</v>
      </c>
      <c r="V148" s="193">
        <f t="shared" si="13"/>
        <v>140</v>
      </c>
      <c r="W148" s="193">
        <f t="shared" si="14"/>
        <v>0</v>
      </c>
      <c r="X148" s="193">
        <f t="shared" si="15"/>
        <v>140</v>
      </c>
      <c r="Y148" s="193">
        <f t="shared" si="16"/>
        <v>0</v>
      </c>
      <c r="Z148" s="195">
        <f t="shared" si="17"/>
        <v>0.15435501653803749</v>
      </c>
      <c r="AA148" s="194">
        <f t="shared" si="18"/>
        <v>0</v>
      </c>
    </row>
    <row r="149" spans="1:27" ht="15" customHeight="1">
      <c r="A149" s="4"/>
      <c r="B149" s="354" t="s">
        <v>78</v>
      </c>
      <c r="C149" s="362"/>
      <c r="D149" s="363"/>
      <c r="E149" s="364"/>
      <c r="F149" s="365"/>
      <c r="G149" s="366"/>
      <c r="H149" s="367"/>
      <c r="I149" s="371"/>
      <c r="J149" s="370"/>
      <c r="K149" s="370"/>
      <c r="L149" s="370"/>
      <c r="M149" s="370"/>
      <c r="N149" s="365"/>
      <c r="O149" s="371"/>
      <c r="P149" s="370"/>
      <c r="Q149" s="370"/>
      <c r="R149" s="370"/>
      <c r="S149" s="370"/>
      <c r="T149" s="370"/>
      <c r="U149" s="56"/>
    </row>
    <row r="150" spans="1:27">
      <c r="A150" s="4"/>
      <c r="B150" s="328" t="s">
        <v>56</v>
      </c>
      <c r="C150" s="329"/>
      <c r="D150" s="330"/>
      <c r="E150" s="331" t="s">
        <v>58</v>
      </c>
      <c r="F150" s="332"/>
      <c r="G150" s="348">
        <v>35</v>
      </c>
      <c r="H150" s="359"/>
      <c r="I150" s="350">
        <v>0</v>
      </c>
      <c r="J150" s="351"/>
      <c r="K150" s="349"/>
      <c r="L150" s="350">
        <v>0</v>
      </c>
      <c r="M150" s="351"/>
      <c r="N150" s="352"/>
      <c r="O150" s="353">
        <v>35</v>
      </c>
      <c r="P150" s="351"/>
      <c r="Q150" s="349"/>
      <c r="R150" s="350">
        <v>35</v>
      </c>
      <c r="S150" s="351"/>
      <c r="T150" s="349"/>
      <c r="U150" s="6">
        <f t="shared" ref="U150" si="19">R150/G150</f>
        <v>1</v>
      </c>
      <c r="V150" s="193">
        <f t="shared" ref="V150:V151" si="20">+I150+O29</f>
        <v>35</v>
      </c>
      <c r="W150" s="193">
        <f t="shared" ref="W150:W151" si="21">+O150-V150</f>
        <v>0</v>
      </c>
      <c r="X150" s="193">
        <f t="shared" ref="X150:X151" si="22">+L150+R29</f>
        <v>35</v>
      </c>
      <c r="Y150" s="193">
        <f t="shared" ref="Y150:Y151" si="23">+R150-X150</f>
        <v>0</v>
      </c>
      <c r="Z150" s="195">
        <f t="shared" ref="Z150:Z151" si="24">+X150/G150</f>
        <v>1</v>
      </c>
      <c r="AA150" s="194">
        <f t="shared" ref="AA150:AA151" si="25">+U150-Z150</f>
        <v>0</v>
      </c>
    </row>
    <row r="151" spans="1:27">
      <c r="A151" s="4"/>
      <c r="B151" s="328" t="s">
        <v>57</v>
      </c>
      <c r="C151" s="329"/>
      <c r="D151" s="330"/>
      <c r="E151" s="331" t="s">
        <v>58</v>
      </c>
      <c r="F151" s="332"/>
      <c r="G151" s="348">
        <v>907</v>
      </c>
      <c r="H151" s="349"/>
      <c r="I151" s="350">
        <v>70</v>
      </c>
      <c r="J151" s="351"/>
      <c r="K151" s="349"/>
      <c r="L151" s="350">
        <v>70</v>
      </c>
      <c r="M151" s="351"/>
      <c r="N151" s="352"/>
      <c r="O151" s="353">
        <f>70+70</f>
        <v>140</v>
      </c>
      <c r="P151" s="351"/>
      <c r="Q151" s="349"/>
      <c r="R151" s="350">
        <f>70+70</f>
        <v>140</v>
      </c>
      <c r="S151" s="351"/>
      <c r="T151" s="349"/>
      <c r="U151" s="54">
        <f>R151/G151</f>
        <v>0.15435501653803749</v>
      </c>
      <c r="V151" s="193">
        <f t="shared" si="20"/>
        <v>140</v>
      </c>
      <c r="W151" s="193">
        <f t="shared" si="21"/>
        <v>0</v>
      </c>
      <c r="X151" s="193">
        <f t="shared" si="22"/>
        <v>140</v>
      </c>
      <c r="Y151" s="193">
        <f t="shared" si="23"/>
        <v>0</v>
      </c>
      <c r="Z151" s="195">
        <f t="shared" si="24"/>
        <v>0.15435501653803749</v>
      </c>
      <c r="AA151" s="194">
        <f t="shared" si="25"/>
        <v>0</v>
      </c>
    </row>
    <row r="152" spans="1:27" ht="15" customHeight="1">
      <c r="A152" s="4"/>
      <c r="B152" s="354" t="s">
        <v>79</v>
      </c>
      <c r="C152" s="362"/>
      <c r="D152" s="363"/>
      <c r="E152" s="364"/>
      <c r="F152" s="365"/>
      <c r="G152" s="366"/>
      <c r="H152" s="367"/>
      <c r="I152" s="371"/>
      <c r="J152" s="370"/>
      <c r="K152" s="370"/>
      <c r="L152" s="370"/>
      <c r="M152" s="370"/>
      <c r="N152" s="365"/>
      <c r="O152" s="371"/>
      <c r="P152" s="370"/>
      <c r="Q152" s="370"/>
      <c r="R152" s="370"/>
      <c r="S152" s="370"/>
      <c r="T152" s="370"/>
      <c r="U152" s="56"/>
    </row>
    <row r="153" spans="1:27">
      <c r="A153" s="4"/>
      <c r="B153" s="328" t="s">
        <v>56</v>
      </c>
      <c r="C153" s="329"/>
      <c r="D153" s="330"/>
      <c r="E153" s="331" t="s">
        <v>58</v>
      </c>
      <c r="F153" s="332"/>
      <c r="G153" s="348">
        <v>96</v>
      </c>
      <c r="H153" s="359"/>
      <c r="I153" s="350">
        <v>0</v>
      </c>
      <c r="J153" s="351"/>
      <c r="K153" s="349"/>
      <c r="L153" s="350">
        <v>0</v>
      </c>
      <c r="M153" s="351"/>
      <c r="N153" s="352"/>
      <c r="O153" s="353">
        <v>0</v>
      </c>
      <c r="P153" s="351"/>
      <c r="Q153" s="349"/>
      <c r="R153" s="350">
        <v>0</v>
      </c>
      <c r="S153" s="351"/>
      <c r="T153" s="349"/>
      <c r="U153" s="54">
        <f t="shared" ref="U153" si="26">R153/G153</f>
        <v>0</v>
      </c>
      <c r="V153" s="193">
        <f t="shared" ref="V153:V154" si="27">+I153+O32</f>
        <v>0</v>
      </c>
      <c r="W153" s="193">
        <f t="shared" ref="W153:W154" si="28">+O153-V153</f>
        <v>0</v>
      </c>
      <c r="X153" s="193">
        <f t="shared" ref="X153:X154" si="29">+L153+R32</f>
        <v>0</v>
      </c>
      <c r="Y153" s="193">
        <f t="shared" ref="Y153:Y154" si="30">+R153-X153</f>
        <v>0</v>
      </c>
      <c r="Z153" s="195">
        <f t="shared" ref="Z153:Z154" si="31">+X153/G153</f>
        <v>0</v>
      </c>
      <c r="AA153" s="194">
        <f t="shared" ref="AA153:AA154" si="32">+U153-Z153</f>
        <v>0</v>
      </c>
    </row>
    <row r="154" spans="1:27">
      <c r="A154" s="4"/>
      <c r="B154" s="328" t="s">
        <v>57</v>
      </c>
      <c r="C154" s="329"/>
      <c r="D154" s="330"/>
      <c r="E154" s="331" t="s">
        <v>58</v>
      </c>
      <c r="F154" s="332"/>
      <c r="G154" s="348">
        <v>1440</v>
      </c>
      <c r="H154" s="349"/>
      <c r="I154" s="350">
        <v>0</v>
      </c>
      <c r="J154" s="351"/>
      <c r="K154" s="349"/>
      <c r="L154" s="350">
        <v>0</v>
      </c>
      <c r="M154" s="351"/>
      <c r="N154" s="352"/>
      <c r="O154" s="353">
        <v>0</v>
      </c>
      <c r="P154" s="351"/>
      <c r="Q154" s="349"/>
      <c r="R154" s="350">
        <v>0</v>
      </c>
      <c r="S154" s="351"/>
      <c r="T154" s="349"/>
      <c r="U154" s="54">
        <f>R154/G154</f>
        <v>0</v>
      </c>
      <c r="V154" s="193">
        <f t="shared" si="27"/>
        <v>0</v>
      </c>
      <c r="W154" s="193">
        <f t="shared" si="28"/>
        <v>0</v>
      </c>
      <c r="X154" s="193">
        <f t="shared" si="29"/>
        <v>0</v>
      </c>
      <c r="Y154" s="193">
        <f t="shared" si="30"/>
        <v>0</v>
      </c>
      <c r="Z154" s="195">
        <f t="shared" si="31"/>
        <v>0</v>
      </c>
      <c r="AA154" s="194">
        <f t="shared" si="32"/>
        <v>0</v>
      </c>
    </row>
    <row r="155" spans="1:27">
      <c r="A155" s="4"/>
      <c r="B155" s="354" t="s">
        <v>63</v>
      </c>
      <c r="C155" s="355"/>
      <c r="D155" s="356"/>
      <c r="E155" s="357"/>
      <c r="F155" s="358"/>
      <c r="G155" s="348"/>
      <c r="H155" s="349"/>
      <c r="I155" s="350"/>
      <c r="J155" s="351"/>
      <c r="K155" s="349"/>
      <c r="L155" s="353"/>
      <c r="M155" s="351"/>
      <c r="N155" s="352"/>
      <c r="O155" s="353"/>
      <c r="P155" s="351"/>
      <c r="Q155" s="351"/>
      <c r="R155" s="351"/>
      <c r="S155" s="351"/>
      <c r="T155" s="351"/>
      <c r="U155" s="6"/>
    </row>
    <row r="156" spans="1:27">
      <c r="A156" s="4"/>
      <c r="B156" s="328" t="s">
        <v>60</v>
      </c>
      <c r="C156" s="329"/>
      <c r="D156" s="330"/>
      <c r="E156" s="331" t="s">
        <v>58</v>
      </c>
      <c r="F156" s="332"/>
      <c r="G156" s="348">
        <v>12</v>
      </c>
      <c r="H156" s="359"/>
      <c r="I156" s="350">
        <v>0</v>
      </c>
      <c r="J156" s="351"/>
      <c r="K156" s="349"/>
      <c r="L156" s="350">
        <v>0</v>
      </c>
      <c r="M156" s="351"/>
      <c r="N156" s="352"/>
      <c r="O156" s="353">
        <v>0</v>
      </c>
      <c r="P156" s="351"/>
      <c r="Q156" s="349"/>
      <c r="R156" s="350">
        <v>0</v>
      </c>
      <c r="S156" s="351"/>
      <c r="T156" s="349"/>
      <c r="U156" s="54">
        <f>R156/G156</f>
        <v>0</v>
      </c>
      <c r="V156" s="193">
        <f>+I156+O35</f>
        <v>0</v>
      </c>
      <c r="W156" s="193">
        <f>+O156-V156</f>
        <v>0</v>
      </c>
      <c r="X156" s="193">
        <f>+L156+R35</f>
        <v>0</v>
      </c>
      <c r="Y156" s="193">
        <f>+R156-X156</f>
        <v>0</v>
      </c>
      <c r="Z156" s="195">
        <f>+X156/G156</f>
        <v>0</v>
      </c>
      <c r="AA156" s="194">
        <f>+U156-Z156</f>
        <v>0</v>
      </c>
    </row>
    <row r="157" spans="1:27">
      <c r="A157" s="4"/>
      <c r="B157" s="354" t="s">
        <v>61</v>
      </c>
      <c r="C157" s="355"/>
      <c r="D157" s="356"/>
      <c r="E157" s="357"/>
      <c r="F157" s="358"/>
      <c r="G157" s="348"/>
      <c r="H157" s="349"/>
      <c r="I157" s="350"/>
      <c r="J157" s="351"/>
      <c r="K157" s="349"/>
      <c r="L157" s="353"/>
      <c r="M157" s="351"/>
      <c r="N157" s="352"/>
      <c r="O157" s="353"/>
      <c r="P157" s="351"/>
      <c r="Q157" s="351"/>
      <c r="R157" s="351"/>
      <c r="S157" s="351"/>
      <c r="T157" s="351"/>
      <c r="U157" s="6"/>
    </row>
    <row r="158" spans="1:27" ht="15" customHeight="1">
      <c r="A158" s="4"/>
      <c r="B158" s="328" t="s">
        <v>61</v>
      </c>
      <c r="C158" s="329"/>
      <c r="D158" s="330"/>
      <c r="E158" s="331" t="s">
        <v>58</v>
      </c>
      <c r="F158" s="332"/>
      <c r="G158" s="348">
        <v>15</v>
      </c>
      <c r="H158" s="349"/>
      <c r="I158" s="350">
        <v>0</v>
      </c>
      <c r="J158" s="351"/>
      <c r="K158" s="349"/>
      <c r="L158" s="350">
        <v>0</v>
      </c>
      <c r="M158" s="351"/>
      <c r="N158" s="352"/>
      <c r="O158" s="353">
        <v>0</v>
      </c>
      <c r="P158" s="351"/>
      <c r="Q158" s="349"/>
      <c r="R158" s="350">
        <v>0</v>
      </c>
      <c r="S158" s="351"/>
      <c r="T158" s="349"/>
      <c r="U158" s="54">
        <f>R158/G158</f>
        <v>0</v>
      </c>
      <c r="V158" s="193">
        <f>+I158+O37</f>
        <v>0</v>
      </c>
      <c r="W158" s="193">
        <f>+O158-V158</f>
        <v>0</v>
      </c>
      <c r="X158" s="193">
        <f>+L158+R37</f>
        <v>0</v>
      </c>
      <c r="Y158" s="193">
        <f>+R158-X158</f>
        <v>0</v>
      </c>
      <c r="Z158" s="195">
        <f>+X158/G158</f>
        <v>0</v>
      </c>
      <c r="AA158" s="194">
        <f>+U158-Z158</f>
        <v>0</v>
      </c>
    </row>
    <row r="159" spans="1:27" ht="15" customHeight="1">
      <c r="A159" s="4"/>
      <c r="B159" s="354" t="s">
        <v>62</v>
      </c>
      <c r="C159" s="355"/>
      <c r="D159" s="356"/>
      <c r="E159" s="357"/>
      <c r="F159" s="358"/>
      <c r="G159" s="348"/>
      <c r="H159" s="349"/>
      <c r="I159" s="350"/>
      <c r="J159" s="351"/>
      <c r="K159" s="349"/>
      <c r="L159" s="353"/>
      <c r="M159" s="351"/>
      <c r="N159" s="352"/>
      <c r="O159" s="353"/>
      <c r="P159" s="351"/>
      <c r="Q159" s="351"/>
      <c r="R159" s="351"/>
      <c r="S159" s="351"/>
      <c r="T159" s="351"/>
      <c r="U159" s="6"/>
    </row>
    <row r="160" spans="1:27" ht="15" customHeight="1" thickBot="1">
      <c r="A160" s="4"/>
      <c r="B160" s="328" t="s">
        <v>62</v>
      </c>
      <c r="C160" s="329"/>
      <c r="D160" s="330"/>
      <c r="E160" s="331" t="s">
        <v>58</v>
      </c>
      <c r="F160" s="332"/>
      <c r="G160" s="333">
        <v>1</v>
      </c>
      <c r="H160" s="334"/>
      <c r="I160" s="335">
        <v>0</v>
      </c>
      <c r="J160" s="336"/>
      <c r="K160" s="334"/>
      <c r="L160" s="458">
        <v>0</v>
      </c>
      <c r="M160" s="336"/>
      <c r="N160" s="459"/>
      <c r="O160" s="353">
        <v>0</v>
      </c>
      <c r="P160" s="351"/>
      <c r="Q160" s="351"/>
      <c r="R160" s="351">
        <v>0</v>
      </c>
      <c r="S160" s="351"/>
      <c r="T160" s="351"/>
      <c r="U160" s="54">
        <f>R160/G160</f>
        <v>0</v>
      </c>
      <c r="V160" s="193">
        <f>+I160+O39</f>
        <v>0</v>
      </c>
      <c r="W160" s="193">
        <f>+O160-V160</f>
        <v>0</v>
      </c>
      <c r="X160" s="193">
        <f>+L160+R39</f>
        <v>0</v>
      </c>
      <c r="Y160" s="193">
        <f>+R160-X160</f>
        <v>0</v>
      </c>
      <c r="Z160" s="195">
        <f>+X160/G160</f>
        <v>0</v>
      </c>
      <c r="AA160" s="194">
        <f>+U160-Z160</f>
        <v>0</v>
      </c>
    </row>
    <row r="161" spans="1:27" ht="15.75" thickBot="1">
      <c r="A161" s="4"/>
      <c r="B161" s="342" t="s">
        <v>21</v>
      </c>
      <c r="C161" s="343"/>
      <c r="D161" s="343"/>
      <c r="E161" s="343"/>
      <c r="F161" s="344"/>
      <c r="G161" s="345"/>
      <c r="H161" s="346"/>
      <c r="I161" s="346"/>
      <c r="J161" s="346"/>
      <c r="K161" s="346"/>
      <c r="L161" s="346"/>
      <c r="M161" s="346"/>
      <c r="N161" s="347"/>
      <c r="O161" s="345"/>
      <c r="P161" s="346"/>
      <c r="Q161" s="346"/>
      <c r="R161" s="346"/>
      <c r="S161" s="346"/>
      <c r="T161" s="346"/>
      <c r="U161" s="347"/>
    </row>
    <row r="162" spans="1:27" ht="15.75" thickBot="1">
      <c r="B162" s="7"/>
      <c r="C162" s="8"/>
      <c r="D162" s="9"/>
      <c r="E162" s="10"/>
      <c r="F162" s="11"/>
      <c r="G162" s="12"/>
      <c r="H162" s="13"/>
      <c r="I162" s="14"/>
      <c r="J162" s="14"/>
      <c r="K162" s="15"/>
      <c r="L162" s="14"/>
      <c r="M162" s="15"/>
      <c r="N162" s="14"/>
      <c r="O162" s="14"/>
      <c r="P162" s="14"/>
      <c r="Q162" s="14"/>
      <c r="R162" s="15"/>
      <c r="S162" s="14"/>
      <c r="T162" s="12"/>
      <c r="U162" s="14"/>
    </row>
    <row r="163" spans="1:27" ht="16.5" customHeight="1" thickBot="1">
      <c r="A163" s="4"/>
      <c r="B163" s="306" t="s">
        <v>22</v>
      </c>
      <c r="C163" s="307"/>
      <c r="D163" s="307"/>
      <c r="E163" s="307"/>
      <c r="F163" s="308"/>
      <c r="G163" s="312" t="s">
        <v>129</v>
      </c>
      <c r="H163" s="313"/>
      <c r="I163" s="313"/>
      <c r="J163" s="313"/>
      <c r="K163" s="313"/>
      <c r="L163" s="313"/>
      <c r="M163" s="313"/>
      <c r="N163" s="313"/>
      <c r="O163" s="313"/>
      <c r="P163" s="313"/>
      <c r="Q163" s="313"/>
      <c r="R163" s="313"/>
      <c r="S163" s="313"/>
      <c r="T163" s="313"/>
      <c r="U163" s="314"/>
    </row>
    <row r="164" spans="1:27" ht="15.75" thickBot="1">
      <c r="A164" s="4"/>
      <c r="B164" s="309"/>
      <c r="C164" s="310"/>
      <c r="D164" s="310"/>
      <c r="E164" s="310"/>
      <c r="F164" s="311"/>
      <c r="G164" s="315" t="s">
        <v>24</v>
      </c>
      <c r="H164" s="316"/>
      <c r="I164" s="310" t="s">
        <v>16</v>
      </c>
      <c r="J164" s="310"/>
      <c r="K164" s="310"/>
      <c r="L164" s="310"/>
      <c r="M164" s="310"/>
      <c r="N164" s="311"/>
      <c r="O164" s="321" t="s">
        <v>17</v>
      </c>
      <c r="P164" s="322"/>
      <c r="Q164" s="322"/>
      <c r="R164" s="322"/>
      <c r="S164" s="322"/>
      <c r="T164" s="322"/>
      <c r="U164" s="323"/>
    </row>
    <row r="165" spans="1:27" ht="15.75" customHeight="1" thickBot="1">
      <c r="A165" s="4"/>
      <c r="B165" s="309"/>
      <c r="C165" s="310"/>
      <c r="D165" s="310"/>
      <c r="E165" s="310"/>
      <c r="F165" s="311"/>
      <c r="G165" s="317"/>
      <c r="H165" s="318"/>
      <c r="I165" s="267" t="s">
        <v>18</v>
      </c>
      <c r="J165" s="268"/>
      <c r="K165" s="269"/>
      <c r="L165" s="267" t="s">
        <v>25</v>
      </c>
      <c r="M165" s="268"/>
      <c r="N165" s="269"/>
      <c r="O165" s="267" t="s">
        <v>18</v>
      </c>
      <c r="P165" s="268"/>
      <c r="Q165" s="324"/>
      <c r="R165" s="325" t="s">
        <v>25</v>
      </c>
      <c r="S165" s="268"/>
      <c r="T165" s="269"/>
      <c r="U165" s="326" t="s">
        <v>20</v>
      </c>
      <c r="V165" s="200" t="s">
        <v>153</v>
      </c>
      <c r="W165" s="201"/>
      <c r="X165" s="200" t="s">
        <v>154</v>
      </c>
      <c r="Y165" s="201"/>
      <c r="Z165" s="200" t="s">
        <v>155</v>
      </c>
      <c r="AA165" s="201"/>
    </row>
    <row r="166" spans="1:27" ht="25.5" customHeight="1" thickBot="1">
      <c r="A166" s="4"/>
      <c r="B166" s="309"/>
      <c r="C166" s="310"/>
      <c r="D166" s="310"/>
      <c r="E166" s="310"/>
      <c r="F166" s="311"/>
      <c r="G166" s="319"/>
      <c r="H166" s="320"/>
      <c r="I166" s="60" t="s">
        <v>26</v>
      </c>
      <c r="J166" s="58" t="s">
        <v>27</v>
      </c>
      <c r="K166" s="58" t="s">
        <v>28</v>
      </c>
      <c r="L166" s="60" t="s">
        <v>26</v>
      </c>
      <c r="M166" s="58" t="s">
        <v>27</v>
      </c>
      <c r="N166" s="61" t="s">
        <v>28</v>
      </c>
      <c r="O166" s="19" t="s">
        <v>26</v>
      </c>
      <c r="P166" s="60" t="s">
        <v>27</v>
      </c>
      <c r="Q166" s="20" t="s">
        <v>28</v>
      </c>
      <c r="R166" s="21" t="s">
        <v>26</v>
      </c>
      <c r="S166" s="59" t="s">
        <v>27</v>
      </c>
      <c r="T166" s="58" t="s">
        <v>28</v>
      </c>
      <c r="U166" s="327"/>
      <c r="V166" s="202"/>
      <c r="W166" s="203"/>
      <c r="X166" s="202"/>
      <c r="Y166" s="203"/>
      <c r="Z166" s="202"/>
      <c r="AA166" s="203"/>
    </row>
    <row r="167" spans="1:27" ht="15.75" thickBot="1">
      <c r="A167" s="4"/>
      <c r="B167" s="302" t="s">
        <v>29</v>
      </c>
      <c r="C167" s="303"/>
      <c r="D167" s="303"/>
      <c r="E167" s="303"/>
      <c r="F167" s="303"/>
      <c r="G167" s="303"/>
      <c r="H167" s="303"/>
      <c r="I167" s="303"/>
      <c r="J167" s="303"/>
      <c r="K167" s="303"/>
      <c r="L167" s="303"/>
      <c r="M167" s="303"/>
      <c r="N167" s="303"/>
      <c r="O167" s="303"/>
      <c r="P167" s="303"/>
      <c r="Q167" s="303"/>
      <c r="R167" s="303"/>
      <c r="S167" s="303"/>
      <c r="T167" s="303"/>
      <c r="U167" s="304"/>
    </row>
    <row r="168" spans="1:27" ht="15.75" customHeight="1">
      <c r="A168" s="23"/>
      <c r="B168" s="473" t="s">
        <v>82</v>
      </c>
      <c r="C168" s="474"/>
      <c r="D168" s="474"/>
      <c r="E168" s="474"/>
      <c r="F168" s="475"/>
      <c r="G168" s="290">
        <v>1908</v>
      </c>
      <c r="H168" s="305"/>
      <c r="I168" s="66">
        <v>0</v>
      </c>
      <c r="J168" s="67">
        <v>0</v>
      </c>
      <c r="K168" s="67">
        <v>0</v>
      </c>
      <c r="L168" s="67">
        <v>0</v>
      </c>
      <c r="M168" s="67">
        <v>0</v>
      </c>
      <c r="N168" s="67">
        <v>0</v>
      </c>
      <c r="O168" s="67">
        <v>0</v>
      </c>
      <c r="P168" s="67">
        <v>0</v>
      </c>
      <c r="Q168" s="68">
        <v>0</v>
      </c>
      <c r="R168" s="67">
        <v>0</v>
      </c>
      <c r="S168" s="67">
        <v>0</v>
      </c>
      <c r="T168" s="68">
        <v>0</v>
      </c>
      <c r="U168" s="69">
        <f>R168/G168</f>
        <v>0</v>
      </c>
      <c r="V168" s="128">
        <f>+I168+O47</f>
        <v>0</v>
      </c>
      <c r="W168" s="128">
        <f>+O168-V168</f>
        <v>0</v>
      </c>
      <c r="X168" s="128">
        <f>+L168+R47</f>
        <v>0</v>
      </c>
      <c r="Y168" s="128">
        <f>+R168-X168</f>
        <v>0</v>
      </c>
      <c r="Z168" s="195">
        <f>+X168/G168</f>
        <v>0</v>
      </c>
      <c r="AA168" s="194">
        <f>+U168-Z168</f>
        <v>0</v>
      </c>
    </row>
    <row r="169" spans="1:27" s="40" customFormat="1">
      <c r="A169" s="152"/>
      <c r="B169" s="274" t="s">
        <v>83</v>
      </c>
      <c r="C169" s="275"/>
      <c r="D169" s="275"/>
      <c r="E169" s="275"/>
      <c r="F169" s="276"/>
      <c r="G169" s="277">
        <v>9000</v>
      </c>
      <c r="H169" s="292"/>
      <c r="I169" s="142">
        <v>0</v>
      </c>
      <c r="J169" s="117">
        <v>0</v>
      </c>
      <c r="K169" s="117">
        <v>0</v>
      </c>
      <c r="L169" s="117">
        <v>0</v>
      </c>
      <c r="M169" s="117">
        <v>0</v>
      </c>
      <c r="N169" s="117">
        <v>0</v>
      </c>
      <c r="O169" s="117">
        <v>0</v>
      </c>
      <c r="P169" s="117">
        <v>0</v>
      </c>
      <c r="Q169" s="117">
        <v>0</v>
      </c>
      <c r="R169" s="117">
        <v>0</v>
      </c>
      <c r="S169" s="117">
        <v>0</v>
      </c>
      <c r="T169" s="117">
        <v>0</v>
      </c>
      <c r="U169" s="153">
        <f>R169/G169</f>
        <v>0</v>
      </c>
      <c r="V169" s="128">
        <f t="shared" ref="V169:V188" si="33">+I169+O48</f>
        <v>0</v>
      </c>
      <c r="W169" s="128">
        <f t="shared" ref="W169:W188" si="34">+O169-V169</f>
        <v>0</v>
      </c>
      <c r="X169" s="128">
        <f t="shared" ref="X169:X188" si="35">+L169+R48</f>
        <v>0</v>
      </c>
      <c r="Y169" s="128">
        <f t="shared" ref="Y169:Y188" si="36">+R169-X169</f>
        <v>0</v>
      </c>
      <c r="Z169" s="195">
        <f t="shared" ref="Z169:Z188" si="37">+X169/G169</f>
        <v>0</v>
      </c>
      <c r="AA169" s="194">
        <f t="shared" ref="AA169:AA188" si="38">+U169-Z169</f>
        <v>0</v>
      </c>
    </row>
    <row r="170" spans="1:27" s="40" customFormat="1">
      <c r="A170" s="152"/>
      <c r="B170" s="274" t="s">
        <v>84</v>
      </c>
      <c r="C170" s="275"/>
      <c r="D170" s="275"/>
      <c r="E170" s="275"/>
      <c r="F170" s="276"/>
      <c r="G170" s="277">
        <v>15000</v>
      </c>
      <c r="H170" s="292"/>
      <c r="I170" s="142">
        <v>0</v>
      </c>
      <c r="J170" s="117">
        <v>0</v>
      </c>
      <c r="K170" s="117">
        <v>0</v>
      </c>
      <c r="L170" s="117">
        <v>0</v>
      </c>
      <c r="M170" s="117">
        <v>0</v>
      </c>
      <c r="N170" s="117">
        <v>0</v>
      </c>
      <c r="O170" s="117">
        <v>0</v>
      </c>
      <c r="P170" s="117">
        <v>0</v>
      </c>
      <c r="Q170" s="117">
        <v>0</v>
      </c>
      <c r="R170" s="117">
        <v>0</v>
      </c>
      <c r="S170" s="117">
        <v>0</v>
      </c>
      <c r="T170" s="117">
        <v>0</v>
      </c>
      <c r="U170" s="153">
        <f>R170/G170</f>
        <v>0</v>
      </c>
      <c r="V170" s="128">
        <f t="shared" si="33"/>
        <v>0</v>
      </c>
      <c r="W170" s="128">
        <f t="shared" si="34"/>
        <v>0</v>
      </c>
      <c r="X170" s="128">
        <f t="shared" si="35"/>
        <v>0</v>
      </c>
      <c r="Y170" s="128">
        <f t="shared" si="36"/>
        <v>0</v>
      </c>
      <c r="Z170" s="195">
        <f t="shared" si="37"/>
        <v>0</v>
      </c>
      <c r="AA170" s="194">
        <f t="shared" si="38"/>
        <v>0</v>
      </c>
    </row>
    <row r="171" spans="1:27" s="40" customFormat="1">
      <c r="A171" s="152"/>
      <c r="B171" s="274" t="s">
        <v>85</v>
      </c>
      <c r="C171" s="275"/>
      <c r="D171" s="275"/>
      <c r="E171" s="275"/>
      <c r="F171" s="276"/>
      <c r="G171" s="277">
        <v>2000</v>
      </c>
      <c r="H171" s="292"/>
      <c r="I171" s="142">
        <v>0</v>
      </c>
      <c r="J171" s="117">
        <v>0</v>
      </c>
      <c r="K171" s="117">
        <v>0</v>
      </c>
      <c r="L171" s="117">
        <v>0</v>
      </c>
      <c r="M171" s="117">
        <v>0</v>
      </c>
      <c r="N171" s="117">
        <v>0</v>
      </c>
      <c r="O171" s="117">
        <v>0</v>
      </c>
      <c r="P171" s="117">
        <v>0</v>
      </c>
      <c r="Q171" s="117">
        <v>0</v>
      </c>
      <c r="R171" s="117">
        <v>0</v>
      </c>
      <c r="S171" s="117">
        <v>0</v>
      </c>
      <c r="T171" s="117">
        <v>0</v>
      </c>
      <c r="U171" s="153">
        <f t="shared" ref="U171" si="39">R171/G171</f>
        <v>0</v>
      </c>
      <c r="V171" s="128">
        <f t="shared" si="33"/>
        <v>0</v>
      </c>
      <c r="W171" s="128">
        <f t="shared" si="34"/>
        <v>0</v>
      </c>
      <c r="X171" s="128">
        <f t="shared" si="35"/>
        <v>0</v>
      </c>
      <c r="Y171" s="128">
        <f t="shared" si="36"/>
        <v>0</v>
      </c>
      <c r="Z171" s="195">
        <f t="shared" si="37"/>
        <v>0</v>
      </c>
      <c r="AA171" s="194">
        <f t="shared" si="38"/>
        <v>0</v>
      </c>
    </row>
    <row r="172" spans="1:27" s="40" customFormat="1">
      <c r="A172" s="152"/>
      <c r="B172" s="274" t="s">
        <v>119</v>
      </c>
      <c r="C172" s="275"/>
      <c r="D172" s="275"/>
      <c r="E172" s="275"/>
      <c r="F172" s="276"/>
      <c r="G172" s="277">
        <v>198000</v>
      </c>
      <c r="H172" s="292"/>
      <c r="I172" s="142">
        <v>16500</v>
      </c>
      <c r="J172" s="117">
        <v>0</v>
      </c>
      <c r="K172" s="117">
        <v>0</v>
      </c>
      <c r="L172" s="117">
        <v>0</v>
      </c>
      <c r="M172" s="117">
        <v>0</v>
      </c>
      <c r="N172" s="117">
        <v>0</v>
      </c>
      <c r="O172" s="117">
        <f>16500+16500</f>
        <v>33000</v>
      </c>
      <c r="P172" s="117">
        <v>0</v>
      </c>
      <c r="Q172" s="117">
        <v>0</v>
      </c>
      <c r="R172" s="117">
        <v>0</v>
      </c>
      <c r="S172" s="117">
        <v>0</v>
      </c>
      <c r="T172" s="117">
        <v>0</v>
      </c>
      <c r="U172" s="153">
        <f>R172/G172</f>
        <v>0</v>
      </c>
      <c r="V172" s="128">
        <f t="shared" si="33"/>
        <v>33000</v>
      </c>
      <c r="W172" s="128">
        <f t="shared" si="34"/>
        <v>0</v>
      </c>
      <c r="X172" s="128">
        <f t="shared" si="35"/>
        <v>0</v>
      </c>
      <c r="Y172" s="128">
        <f t="shared" si="36"/>
        <v>0</v>
      </c>
      <c r="Z172" s="195">
        <f t="shared" si="37"/>
        <v>0</v>
      </c>
      <c r="AA172" s="194">
        <f t="shared" si="38"/>
        <v>0</v>
      </c>
    </row>
    <row r="173" spans="1:27" s="40" customFormat="1" ht="15" customHeight="1">
      <c r="A173" s="152"/>
      <c r="B173" s="274" t="s">
        <v>130</v>
      </c>
      <c r="C173" s="275"/>
      <c r="D173" s="275"/>
      <c r="E173" s="275"/>
      <c r="F173" s="276"/>
      <c r="G173" s="277">
        <v>13000</v>
      </c>
      <c r="H173" s="292"/>
      <c r="I173" s="142">
        <v>0</v>
      </c>
      <c r="J173" s="117">
        <v>0</v>
      </c>
      <c r="K173" s="117">
        <v>0</v>
      </c>
      <c r="L173" s="117">
        <v>0</v>
      </c>
      <c r="M173" s="117">
        <v>0</v>
      </c>
      <c r="N173" s="117">
        <v>0</v>
      </c>
      <c r="O173" s="117">
        <v>0</v>
      </c>
      <c r="P173" s="117">
        <v>0</v>
      </c>
      <c r="Q173" s="117">
        <v>0</v>
      </c>
      <c r="R173" s="117">
        <v>0</v>
      </c>
      <c r="S173" s="117">
        <v>0</v>
      </c>
      <c r="T173" s="117">
        <v>0</v>
      </c>
      <c r="U173" s="153">
        <f>R173/G173</f>
        <v>0</v>
      </c>
      <c r="V173" s="128">
        <f t="shared" si="33"/>
        <v>0</v>
      </c>
      <c r="W173" s="128">
        <f t="shared" si="34"/>
        <v>0</v>
      </c>
      <c r="X173" s="128">
        <f t="shared" si="35"/>
        <v>0</v>
      </c>
      <c r="Y173" s="128">
        <f t="shared" si="36"/>
        <v>0</v>
      </c>
      <c r="Z173" s="195">
        <f t="shared" si="37"/>
        <v>0</v>
      </c>
      <c r="AA173" s="194">
        <f t="shared" si="38"/>
        <v>0</v>
      </c>
    </row>
    <row r="174" spans="1:27" s="40" customFormat="1">
      <c r="A174" s="152"/>
      <c r="B174" s="274" t="s">
        <v>86</v>
      </c>
      <c r="C174" s="275"/>
      <c r="D174" s="275"/>
      <c r="E174" s="275"/>
      <c r="F174" s="276"/>
      <c r="G174" s="277">
        <v>30000</v>
      </c>
      <c r="H174" s="292"/>
      <c r="I174" s="142">
        <v>0</v>
      </c>
      <c r="J174" s="117">
        <v>0</v>
      </c>
      <c r="K174" s="117">
        <v>0</v>
      </c>
      <c r="L174" s="117">
        <v>0</v>
      </c>
      <c r="M174" s="117">
        <v>0</v>
      </c>
      <c r="N174" s="117">
        <v>0</v>
      </c>
      <c r="O174" s="117">
        <v>0</v>
      </c>
      <c r="P174" s="117">
        <v>0</v>
      </c>
      <c r="Q174" s="117">
        <v>0</v>
      </c>
      <c r="R174" s="117">
        <v>0</v>
      </c>
      <c r="S174" s="117">
        <v>0</v>
      </c>
      <c r="T174" s="117">
        <v>0</v>
      </c>
      <c r="U174" s="153">
        <f t="shared" ref="U174:U182" si="40">R174/G174</f>
        <v>0</v>
      </c>
      <c r="V174" s="128">
        <f t="shared" si="33"/>
        <v>0</v>
      </c>
      <c r="W174" s="128">
        <f t="shared" si="34"/>
        <v>0</v>
      </c>
      <c r="X174" s="128">
        <f t="shared" si="35"/>
        <v>0</v>
      </c>
      <c r="Y174" s="128">
        <f t="shared" si="36"/>
        <v>0</v>
      </c>
      <c r="Z174" s="195">
        <f t="shared" si="37"/>
        <v>0</v>
      </c>
      <c r="AA174" s="194">
        <f t="shared" si="38"/>
        <v>0</v>
      </c>
    </row>
    <row r="175" spans="1:27" s="40" customFormat="1">
      <c r="A175" s="152"/>
      <c r="B175" s="274" t="s">
        <v>88</v>
      </c>
      <c r="C175" s="275"/>
      <c r="D175" s="275"/>
      <c r="E175" s="275"/>
      <c r="F175" s="276"/>
      <c r="G175" s="277">
        <v>5800</v>
      </c>
      <c r="H175" s="292"/>
      <c r="I175" s="142">
        <v>0</v>
      </c>
      <c r="J175" s="117">
        <v>0</v>
      </c>
      <c r="K175" s="117">
        <v>0</v>
      </c>
      <c r="L175" s="117">
        <v>0</v>
      </c>
      <c r="M175" s="117">
        <v>0</v>
      </c>
      <c r="N175" s="117">
        <v>0</v>
      </c>
      <c r="O175" s="117">
        <v>0</v>
      </c>
      <c r="P175" s="117">
        <v>0</v>
      </c>
      <c r="Q175" s="117">
        <v>0</v>
      </c>
      <c r="R175" s="117">
        <v>0</v>
      </c>
      <c r="S175" s="117">
        <v>0</v>
      </c>
      <c r="T175" s="117">
        <v>0</v>
      </c>
      <c r="U175" s="153">
        <f t="shared" si="40"/>
        <v>0</v>
      </c>
      <c r="V175" s="128">
        <f t="shared" si="33"/>
        <v>0</v>
      </c>
      <c r="W175" s="128">
        <f t="shared" si="34"/>
        <v>0</v>
      </c>
      <c r="X175" s="128">
        <f t="shared" si="35"/>
        <v>0</v>
      </c>
      <c r="Y175" s="128">
        <f t="shared" si="36"/>
        <v>0</v>
      </c>
      <c r="Z175" s="195">
        <f t="shared" si="37"/>
        <v>0</v>
      </c>
      <c r="AA175" s="194">
        <f t="shared" si="38"/>
        <v>0</v>
      </c>
    </row>
    <row r="176" spans="1:27" s="40" customFormat="1">
      <c r="A176" s="152"/>
      <c r="B176" s="274" t="s">
        <v>131</v>
      </c>
      <c r="C176" s="275"/>
      <c r="D176" s="275"/>
      <c r="E176" s="275"/>
      <c r="F176" s="276"/>
      <c r="G176" s="277">
        <v>40000</v>
      </c>
      <c r="H176" s="292"/>
      <c r="I176" s="142">
        <v>0</v>
      </c>
      <c r="J176" s="117">
        <v>0</v>
      </c>
      <c r="K176" s="117">
        <v>0</v>
      </c>
      <c r="L176" s="117">
        <v>0</v>
      </c>
      <c r="M176" s="117">
        <v>0</v>
      </c>
      <c r="N176" s="117">
        <v>0</v>
      </c>
      <c r="O176" s="117">
        <v>0</v>
      </c>
      <c r="P176" s="117">
        <v>0</v>
      </c>
      <c r="Q176" s="117">
        <v>0</v>
      </c>
      <c r="R176" s="117">
        <v>0</v>
      </c>
      <c r="S176" s="117">
        <v>0</v>
      </c>
      <c r="T176" s="117">
        <v>0</v>
      </c>
      <c r="U176" s="153">
        <f t="shared" si="40"/>
        <v>0</v>
      </c>
      <c r="V176" s="128">
        <f t="shared" si="33"/>
        <v>0</v>
      </c>
      <c r="W176" s="128">
        <f t="shared" si="34"/>
        <v>0</v>
      </c>
      <c r="X176" s="128">
        <f t="shared" si="35"/>
        <v>0</v>
      </c>
      <c r="Y176" s="128">
        <f t="shared" si="36"/>
        <v>0</v>
      </c>
      <c r="Z176" s="195">
        <f t="shared" si="37"/>
        <v>0</v>
      </c>
      <c r="AA176" s="194">
        <f t="shared" si="38"/>
        <v>0</v>
      </c>
    </row>
    <row r="177" spans="1:27" s="40" customFormat="1">
      <c r="A177" s="152"/>
      <c r="B177" s="274" t="s">
        <v>87</v>
      </c>
      <c r="C177" s="275"/>
      <c r="D177" s="275"/>
      <c r="E177" s="275"/>
      <c r="F177" s="276"/>
      <c r="G177" s="277">
        <v>9000</v>
      </c>
      <c r="H177" s="292"/>
      <c r="I177" s="142">
        <v>0</v>
      </c>
      <c r="J177" s="117">
        <v>0</v>
      </c>
      <c r="K177" s="117">
        <v>0</v>
      </c>
      <c r="L177" s="117">
        <v>0</v>
      </c>
      <c r="M177" s="117">
        <v>0</v>
      </c>
      <c r="N177" s="117">
        <v>0</v>
      </c>
      <c r="O177" s="117">
        <v>0</v>
      </c>
      <c r="P177" s="117">
        <v>0</v>
      </c>
      <c r="Q177" s="117">
        <v>0</v>
      </c>
      <c r="R177" s="117">
        <v>0</v>
      </c>
      <c r="S177" s="117">
        <v>0</v>
      </c>
      <c r="T177" s="117">
        <v>0</v>
      </c>
      <c r="U177" s="153">
        <f t="shared" si="40"/>
        <v>0</v>
      </c>
      <c r="V177" s="128">
        <f t="shared" si="33"/>
        <v>0</v>
      </c>
      <c r="W177" s="128">
        <f t="shared" si="34"/>
        <v>0</v>
      </c>
      <c r="X177" s="128">
        <f t="shared" si="35"/>
        <v>0</v>
      </c>
      <c r="Y177" s="128">
        <f t="shared" si="36"/>
        <v>0</v>
      </c>
      <c r="Z177" s="195">
        <f t="shared" si="37"/>
        <v>0</v>
      </c>
      <c r="AA177" s="194">
        <f t="shared" si="38"/>
        <v>0</v>
      </c>
    </row>
    <row r="178" spans="1:27" s="40" customFormat="1">
      <c r="A178" s="152"/>
      <c r="B178" s="274" t="s">
        <v>89</v>
      </c>
      <c r="C178" s="275"/>
      <c r="D178" s="275"/>
      <c r="E178" s="275"/>
      <c r="F178" s="276"/>
      <c r="G178" s="277">
        <v>8000</v>
      </c>
      <c r="H178" s="292"/>
      <c r="I178" s="142">
        <v>0</v>
      </c>
      <c r="J178" s="117">
        <v>0</v>
      </c>
      <c r="K178" s="117">
        <v>0</v>
      </c>
      <c r="L178" s="117">
        <v>0</v>
      </c>
      <c r="M178" s="117">
        <v>0</v>
      </c>
      <c r="N178" s="117">
        <v>0</v>
      </c>
      <c r="O178" s="117">
        <v>0</v>
      </c>
      <c r="P178" s="117">
        <v>0</v>
      </c>
      <c r="Q178" s="117">
        <v>0</v>
      </c>
      <c r="R178" s="117">
        <v>0</v>
      </c>
      <c r="S178" s="117">
        <v>0</v>
      </c>
      <c r="T178" s="117">
        <v>0</v>
      </c>
      <c r="U178" s="153">
        <f t="shared" si="40"/>
        <v>0</v>
      </c>
      <c r="V178" s="128">
        <f t="shared" si="33"/>
        <v>0</v>
      </c>
      <c r="W178" s="128">
        <f t="shared" si="34"/>
        <v>0</v>
      </c>
      <c r="X178" s="128">
        <f t="shared" si="35"/>
        <v>0</v>
      </c>
      <c r="Y178" s="128">
        <f t="shared" si="36"/>
        <v>0</v>
      </c>
      <c r="Z178" s="195">
        <f t="shared" si="37"/>
        <v>0</v>
      </c>
      <c r="AA178" s="194">
        <f t="shared" si="38"/>
        <v>0</v>
      </c>
    </row>
    <row r="179" spans="1:27" s="40" customFormat="1">
      <c r="A179" s="152"/>
      <c r="B179" s="274" t="s">
        <v>90</v>
      </c>
      <c r="C179" s="275"/>
      <c r="D179" s="275"/>
      <c r="E179" s="275"/>
      <c r="F179" s="276"/>
      <c r="G179" s="277">
        <v>9000</v>
      </c>
      <c r="H179" s="292"/>
      <c r="I179" s="142">
        <v>0</v>
      </c>
      <c r="J179" s="117">
        <v>0</v>
      </c>
      <c r="K179" s="117">
        <v>0</v>
      </c>
      <c r="L179" s="117">
        <v>0</v>
      </c>
      <c r="M179" s="117">
        <v>0</v>
      </c>
      <c r="N179" s="117">
        <v>0</v>
      </c>
      <c r="O179" s="117">
        <v>0</v>
      </c>
      <c r="P179" s="117">
        <v>0</v>
      </c>
      <c r="Q179" s="117">
        <v>0</v>
      </c>
      <c r="R179" s="117">
        <v>0</v>
      </c>
      <c r="S179" s="117">
        <v>0</v>
      </c>
      <c r="T179" s="117">
        <v>0</v>
      </c>
      <c r="U179" s="153">
        <f t="shared" si="40"/>
        <v>0</v>
      </c>
      <c r="V179" s="128">
        <f t="shared" si="33"/>
        <v>0</v>
      </c>
      <c r="W179" s="128">
        <f t="shared" si="34"/>
        <v>0</v>
      </c>
      <c r="X179" s="128">
        <f t="shared" si="35"/>
        <v>0</v>
      </c>
      <c r="Y179" s="128">
        <f t="shared" si="36"/>
        <v>0</v>
      </c>
      <c r="Z179" s="195">
        <f t="shared" si="37"/>
        <v>0</v>
      </c>
      <c r="AA179" s="194">
        <f t="shared" si="38"/>
        <v>0</v>
      </c>
    </row>
    <row r="180" spans="1:27" s="40" customFormat="1">
      <c r="A180" s="152"/>
      <c r="B180" s="274" t="s">
        <v>64</v>
      </c>
      <c r="C180" s="275"/>
      <c r="D180" s="275"/>
      <c r="E180" s="275"/>
      <c r="F180" s="276"/>
      <c r="G180" s="277">
        <v>3750</v>
      </c>
      <c r="H180" s="292"/>
      <c r="I180" s="142">
        <v>0</v>
      </c>
      <c r="J180" s="117">
        <v>0</v>
      </c>
      <c r="K180" s="117">
        <v>0</v>
      </c>
      <c r="L180" s="117">
        <v>0</v>
      </c>
      <c r="M180" s="117">
        <v>0</v>
      </c>
      <c r="N180" s="117">
        <v>0</v>
      </c>
      <c r="O180" s="117">
        <v>0</v>
      </c>
      <c r="P180" s="117">
        <v>0</v>
      </c>
      <c r="Q180" s="117">
        <v>0</v>
      </c>
      <c r="R180" s="117">
        <v>0</v>
      </c>
      <c r="S180" s="117">
        <v>0</v>
      </c>
      <c r="T180" s="117">
        <v>0</v>
      </c>
      <c r="U180" s="153">
        <f t="shared" si="40"/>
        <v>0</v>
      </c>
      <c r="V180" s="128">
        <f t="shared" si="33"/>
        <v>0</v>
      </c>
      <c r="W180" s="128">
        <f t="shared" si="34"/>
        <v>0</v>
      </c>
      <c r="X180" s="128">
        <f t="shared" si="35"/>
        <v>0</v>
      </c>
      <c r="Y180" s="128">
        <f t="shared" si="36"/>
        <v>0</v>
      </c>
      <c r="Z180" s="195">
        <f t="shared" si="37"/>
        <v>0</v>
      </c>
      <c r="AA180" s="194">
        <f t="shared" si="38"/>
        <v>0</v>
      </c>
    </row>
    <row r="181" spans="1:27" s="40" customFormat="1">
      <c r="A181" s="152"/>
      <c r="B181" s="274" t="s">
        <v>91</v>
      </c>
      <c r="C181" s="275"/>
      <c r="D181" s="275"/>
      <c r="E181" s="275"/>
      <c r="F181" s="276"/>
      <c r="G181" s="277">
        <v>6000</v>
      </c>
      <c r="H181" s="292"/>
      <c r="I181" s="142">
        <v>0</v>
      </c>
      <c r="J181" s="117">
        <v>0</v>
      </c>
      <c r="K181" s="117">
        <v>0</v>
      </c>
      <c r="L181" s="117">
        <v>0</v>
      </c>
      <c r="M181" s="117">
        <v>0</v>
      </c>
      <c r="N181" s="117">
        <v>0</v>
      </c>
      <c r="O181" s="117">
        <v>0</v>
      </c>
      <c r="P181" s="117">
        <v>0</v>
      </c>
      <c r="Q181" s="117">
        <v>0</v>
      </c>
      <c r="R181" s="117">
        <v>0</v>
      </c>
      <c r="S181" s="117">
        <v>0</v>
      </c>
      <c r="T181" s="117">
        <v>0</v>
      </c>
      <c r="U181" s="153">
        <f t="shared" si="40"/>
        <v>0</v>
      </c>
      <c r="V181" s="128">
        <f t="shared" si="33"/>
        <v>0</v>
      </c>
      <c r="W181" s="128">
        <f t="shared" si="34"/>
        <v>0</v>
      </c>
      <c r="X181" s="128">
        <f t="shared" si="35"/>
        <v>0</v>
      </c>
      <c r="Y181" s="128">
        <f t="shared" si="36"/>
        <v>0</v>
      </c>
      <c r="Z181" s="195">
        <f t="shared" si="37"/>
        <v>0</v>
      </c>
      <c r="AA181" s="194">
        <f t="shared" si="38"/>
        <v>0</v>
      </c>
    </row>
    <row r="182" spans="1:27" s="40" customFormat="1">
      <c r="A182" s="152"/>
      <c r="B182" s="274" t="s">
        <v>81</v>
      </c>
      <c r="C182" s="275"/>
      <c r="D182" s="275"/>
      <c r="E182" s="275"/>
      <c r="F182" s="276"/>
      <c r="G182" s="277">
        <v>195000</v>
      </c>
      <c r="H182" s="292"/>
      <c r="I182" s="142">
        <v>26000</v>
      </c>
      <c r="J182" s="117">
        <v>0</v>
      </c>
      <c r="K182" s="117">
        <v>0</v>
      </c>
      <c r="L182" s="117">
        <v>27887.03</v>
      </c>
      <c r="M182" s="117">
        <v>0</v>
      </c>
      <c r="N182" s="117">
        <v>0</v>
      </c>
      <c r="O182" s="117">
        <f>26000+26000</f>
        <v>52000</v>
      </c>
      <c r="P182" s="117">
        <v>0</v>
      </c>
      <c r="Q182" s="117">
        <v>0</v>
      </c>
      <c r="R182" s="117">
        <f>23416.71+27887.03</f>
        <v>51303.74</v>
      </c>
      <c r="S182" s="117">
        <v>0</v>
      </c>
      <c r="T182" s="117">
        <v>0</v>
      </c>
      <c r="U182" s="153">
        <f t="shared" si="40"/>
        <v>0.26309610256410254</v>
      </c>
      <c r="V182" s="128">
        <f t="shared" si="33"/>
        <v>52000</v>
      </c>
      <c r="W182" s="128">
        <f t="shared" si="34"/>
        <v>0</v>
      </c>
      <c r="X182" s="128">
        <f t="shared" si="35"/>
        <v>51303.74</v>
      </c>
      <c r="Y182" s="128">
        <f t="shared" si="36"/>
        <v>0</v>
      </c>
      <c r="Z182" s="195">
        <f t="shared" si="37"/>
        <v>0.26309610256410254</v>
      </c>
      <c r="AA182" s="194">
        <f t="shared" si="38"/>
        <v>0</v>
      </c>
    </row>
    <row r="183" spans="1:27" ht="15" customHeight="1">
      <c r="A183" s="23"/>
      <c r="B183" s="465" t="s">
        <v>132</v>
      </c>
      <c r="C183" s="466"/>
      <c r="D183" s="466"/>
      <c r="E183" s="466"/>
      <c r="F183" s="467"/>
      <c r="G183" s="277">
        <v>1900</v>
      </c>
      <c r="H183" s="292"/>
      <c r="I183" s="64">
        <v>0</v>
      </c>
      <c r="J183" s="70">
        <v>0</v>
      </c>
      <c r="K183" s="70">
        <v>0</v>
      </c>
      <c r="L183" s="70">
        <v>0</v>
      </c>
      <c r="M183" s="70">
        <v>0</v>
      </c>
      <c r="N183" s="70">
        <v>0</v>
      </c>
      <c r="O183" s="70">
        <v>0</v>
      </c>
      <c r="P183" s="70">
        <v>0</v>
      </c>
      <c r="Q183" s="70">
        <v>0</v>
      </c>
      <c r="R183" s="70">
        <v>0</v>
      </c>
      <c r="S183" s="70">
        <v>0</v>
      </c>
      <c r="T183" s="70">
        <v>0</v>
      </c>
      <c r="U183" s="71">
        <f>R183/G183</f>
        <v>0</v>
      </c>
      <c r="V183" s="128">
        <f t="shared" si="33"/>
        <v>0</v>
      </c>
      <c r="W183" s="128">
        <f t="shared" si="34"/>
        <v>0</v>
      </c>
      <c r="X183" s="128">
        <f t="shared" si="35"/>
        <v>0</v>
      </c>
      <c r="Y183" s="128">
        <f t="shared" si="36"/>
        <v>0</v>
      </c>
      <c r="Z183" s="195">
        <f t="shared" si="37"/>
        <v>0</v>
      </c>
      <c r="AA183" s="194">
        <f t="shared" si="38"/>
        <v>0</v>
      </c>
    </row>
    <row r="184" spans="1:27" ht="15" customHeight="1">
      <c r="A184" s="23"/>
      <c r="B184" s="465" t="s">
        <v>133</v>
      </c>
      <c r="C184" s="466"/>
      <c r="D184" s="466"/>
      <c r="E184" s="466"/>
      <c r="F184" s="467"/>
      <c r="G184" s="277">
        <v>20000</v>
      </c>
      <c r="H184" s="292"/>
      <c r="I184" s="64">
        <v>0</v>
      </c>
      <c r="J184" s="26">
        <v>0</v>
      </c>
      <c r="K184" s="26">
        <v>0</v>
      </c>
      <c r="L184" s="26">
        <v>0</v>
      </c>
      <c r="M184" s="26">
        <v>0</v>
      </c>
      <c r="N184" s="26">
        <v>0</v>
      </c>
      <c r="O184" s="26">
        <v>0</v>
      </c>
      <c r="P184" s="26">
        <v>0</v>
      </c>
      <c r="Q184" s="26">
        <v>0</v>
      </c>
      <c r="R184" s="26">
        <v>0</v>
      </c>
      <c r="S184" s="26">
        <v>0</v>
      </c>
      <c r="T184" s="26">
        <v>0</v>
      </c>
      <c r="U184" s="65">
        <f>R184/G184</f>
        <v>0</v>
      </c>
      <c r="V184" s="128">
        <f t="shared" si="33"/>
        <v>0</v>
      </c>
      <c r="W184" s="128">
        <f t="shared" si="34"/>
        <v>0</v>
      </c>
      <c r="X184" s="128">
        <f t="shared" si="35"/>
        <v>0</v>
      </c>
      <c r="Y184" s="128">
        <f t="shared" si="36"/>
        <v>0</v>
      </c>
      <c r="Z184" s="195">
        <f t="shared" si="37"/>
        <v>0</v>
      </c>
      <c r="AA184" s="194">
        <f t="shared" si="38"/>
        <v>0</v>
      </c>
    </row>
    <row r="185" spans="1:27" ht="15" customHeight="1">
      <c r="A185" s="23"/>
      <c r="B185" s="274" t="s">
        <v>134</v>
      </c>
      <c r="C185" s="275"/>
      <c r="D185" s="275"/>
      <c r="E185" s="275"/>
      <c r="F185" s="276"/>
      <c r="G185" s="277">
        <v>7200</v>
      </c>
      <c r="H185" s="292"/>
      <c r="I185" s="64">
        <v>0</v>
      </c>
      <c r="J185" s="26">
        <v>0</v>
      </c>
      <c r="K185" s="26">
        <v>0</v>
      </c>
      <c r="L185" s="26">
        <v>0</v>
      </c>
      <c r="M185" s="26">
        <v>0</v>
      </c>
      <c r="N185" s="26">
        <v>0</v>
      </c>
      <c r="O185" s="26">
        <v>0</v>
      </c>
      <c r="P185" s="26">
        <v>0</v>
      </c>
      <c r="Q185" s="26">
        <v>0</v>
      </c>
      <c r="R185" s="26">
        <v>0</v>
      </c>
      <c r="S185" s="26">
        <v>0</v>
      </c>
      <c r="T185" s="26">
        <v>0</v>
      </c>
      <c r="U185" s="65">
        <f>R185/G185</f>
        <v>0</v>
      </c>
      <c r="V185" s="128">
        <f t="shared" si="33"/>
        <v>0</v>
      </c>
      <c r="W185" s="128">
        <f t="shared" si="34"/>
        <v>0</v>
      </c>
      <c r="X185" s="128">
        <f t="shared" si="35"/>
        <v>0</v>
      </c>
      <c r="Y185" s="128">
        <f t="shared" si="36"/>
        <v>0</v>
      </c>
      <c r="Z185" s="195">
        <f t="shared" si="37"/>
        <v>0</v>
      </c>
      <c r="AA185" s="194">
        <f t="shared" si="38"/>
        <v>0</v>
      </c>
    </row>
    <row r="186" spans="1:27" ht="15" customHeight="1">
      <c r="A186" s="23"/>
      <c r="B186" s="274" t="s">
        <v>79</v>
      </c>
      <c r="C186" s="275"/>
      <c r="D186" s="275"/>
      <c r="E186" s="275"/>
      <c r="F186" s="276"/>
      <c r="G186" s="277">
        <v>37500</v>
      </c>
      <c r="H186" s="292"/>
      <c r="I186" s="64">
        <v>0</v>
      </c>
      <c r="J186" s="26">
        <v>0</v>
      </c>
      <c r="K186" s="26">
        <v>0</v>
      </c>
      <c r="L186" s="26">
        <v>0</v>
      </c>
      <c r="M186" s="26">
        <v>0</v>
      </c>
      <c r="N186" s="26">
        <v>0</v>
      </c>
      <c r="O186" s="26">
        <v>0</v>
      </c>
      <c r="P186" s="26">
        <v>0</v>
      </c>
      <c r="Q186" s="26">
        <v>0</v>
      </c>
      <c r="R186" s="26">
        <v>0</v>
      </c>
      <c r="S186" s="26">
        <v>0</v>
      </c>
      <c r="T186" s="26">
        <v>0</v>
      </c>
      <c r="U186" s="65">
        <f t="shared" ref="U186:U187" si="41">R186/G186</f>
        <v>0</v>
      </c>
      <c r="V186" s="128">
        <f t="shared" si="33"/>
        <v>0</v>
      </c>
      <c r="W186" s="128">
        <f t="shared" si="34"/>
        <v>0</v>
      </c>
      <c r="X186" s="128">
        <f t="shared" si="35"/>
        <v>0</v>
      </c>
      <c r="Y186" s="128">
        <f t="shared" si="36"/>
        <v>0</v>
      </c>
      <c r="Z186" s="195">
        <f t="shared" si="37"/>
        <v>0</v>
      </c>
      <c r="AA186" s="194">
        <f t="shared" si="38"/>
        <v>0</v>
      </c>
    </row>
    <row r="187" spans="1:27" ht="15" customHeight="1">
      <c r="A187" s="23"/>
      <c r="B187" s="274" t="s">
        <v>92</v>
      </c>
      <c r="C187" s="275"/>
      <c r="D187" s="275"/>
      <c r="E187" s="275"/>
      <c r="F187" s="276"/>
      <c r="G187" s="277">
        <v>39600</v>
      </c>
      <c r="H187" s="292"/>
      <c r="I187" s="64">
        <v>0</v>
      </c>
      <c r="J187" s="26">
        <v>0</v>
      </c>
      <c r="K187" s="26">
        <v>0</v>
      </c>
      <c r="L187" s="26">
        <v>0</v>
      </c>
      <c r="M187" s="26">
        <v>0</v>
      </c>
      <c r="N187" s="26">
        <v>0</v>
      </c>
      <c r="O187" s="26">
        <v>0</v>
      </c>
      <c r="P187" s="26">
        <v>0</v>
      </c>
      <c r="Q187" s="26">
        <v>0</v>
      </c>
      <c r="R187" s="26">
        <v>0</v>
      </c>
      <c r="S187" s="26">
        <v>0</v>
      </c>
      <c r="T187" s="26">
        <v>0</v>
      </c>
      <c r="U187" s="65">
        <f t="shared" si="41"/>
        <v>0</v>
      </c>
      <c r="V187" s="128">
        <f t="shared" si="33"/>
        <v>0</v>
      </c>
      <c r="W187" s="128">
        <f t="shared" si="34"/>
        <v>0</v>
      </c>
      <c r="X187" s="128">
        <f t="shared" si="35"/>
        <v>0</v>
      </c>
      <c r="Y187" s="128">
        <f t="shared" si="36"/>
        <v>0</v>
      </c>
      <c r="Z187" s="195">
        <f t="shared" si="37"/>
        <v>0</v>
      </c>
      <c r="AA187" s="194">
        <f t="shared" si="38"/>
        <v>0</v>
      </c>
    </row>
    <row r="188" spans="1:27">
      <c r="A188" s="23"/>
      <c r="B188" s="274" t="s">
        <v>65</v>
      </c>
      <c r="C188" s="275"/>
      <c r="D188" s="275"/>
      <c r="E188" s="275"/>
      <c r="F188" s="276"/>
      <c r="G188" s="463">
        <v>23750</v>
      </c>
      <c r="H188" s="476"/>
      <c r="I188" s="64">
        <v>0</v>
      </c>
      <c r="J188" s="26">
        <v>0</v>
      </c>
      <c r="K188" s="26">
        <v>0</v>
      </c>
      <c r="L188" s="26">
        <v>0</v>
      </c>
      <c r="M188" s="26">
        <v>0</v>
      </c>
      <c r="N188" s="26">
        <v>0</v>
      </c>
      <c r="O188" s="26">
        <v>0</v>
      </c>
      <c r="P188" s="26">
        <v>0</v>
      </c>
      <c r="Q188" s="26">
        <v>0</v>
      </c>
      <c r="R188" s="26">
        <v>0</v>
      </c>
      <c r="S188" s="26">
        <v>0</v>
      </c>
      <c r="T188" s="26">
        <v>0</v>
      </c>
      <c r="U188" s="65">
        <f>R188/G188</f>
        <v>0</v>
      </c>
      <c r="V188" s="128">
        <f t="shared" si="33"/>
        <v>0</v>
      </c>
      <c r="W188" s="128">
        <f t="shared" si="34"/>
        <v>0</v>
      </c>
      <c r="X188" s="128">
        <f t="shared" si="35"/>
        <v>0</v>
      </c>
      <c r="Y188" s="128">
        <f t="shared" si="36"/>
        <v>0</v>
      </c>
      <c r="Z188" s="195">
        <f t="shared" si="37"/>
        <v>0</v>
      </c>
      <c r="AA188" s="194">
        <f t="shared" si="38"/>
        <v>0</v>
      </c>
    </row>
    <row r="189" spans="1:27" ht="15.75" thickBot="1">
      <c r="A189" s="23"/>
      <c r="B189" s="453"/>
      <c r="C189" s="454"/>
      <c r="D189" s="454"/>
      <c r="E189" s="454"/>
      <c r="F189" s="455"/>
      <c r="G189" s="456"/>
      <c r="H189" s="457"/>
      <c r="I189" s="64"/>
      <c r="J189" s="26"/>
      <c r="K189" s="26"/>
      <c r="L189" s="26"/>
      <c r="M189" s="26"/>
      <c r="N189" s="26"/>
      <c r="O189" s="26"/>
      <c r="P189" s="26"/>
      <c r="Q189" s="26"/>
      <c r="R189" s="26"/>
      <c r="S189" s="26"/>
      <c r="T189" s="26"/>
      <c r="U189" s="27"/>
    </row>
    <row r="190" spans="1:27" ht="15.75" thickBot="1">
      <c r="A190" s="23"/>
      <c r="B190" s="257" t="s">
        <v>21</v>
      </c>
      <c r="C190" s="258"/>
      <c r="D190" s="258"/>
      <c r="E190" s="258"/>
      <c r="F190" s="259"/>
      <c r="G190" s="260">
        <f>SUM(G168:H189)</f>
        <v>675408</v>
      </c>
      <c r="H190" s="261"/>
      <c r="I190" s="29">
        <f>SUM(I168:I189)</f>
        <v>42500</v>
      </c>
      <c r="J190" s="29"/>
      <c r="K190" s="29"/>
      <c r="L190" s="29">
        <f>SUM(L168:L189)</f>
        <v>27887.03</v>
      </c>
      <c r="M190" s="29"/>
      <c r="N190" s="29"/>
      <c r="O190" s="29">
        <f>SUM(O168:O189)</f>
        <v>85000</v>
      </c>
      <c r="P190" s="29"/>
      <c r="Q190" s="29"/>
      <c r="R190" s="29">
        <f>SUM(R168:R189)</f>
        <v>51303.74</v>
      </c>
      <c r="S190" s="29"/>
      <c r="T190" s="30"/>
      <c r="U190" s="78">
        <f>R190/G190</f>
        <v>7.5959627365977306E-2</v>
      </c>
    </row>
    <row r="191" spans="1:27" ht="15.75" thickBot="1">
      <c r="A191" s="23"/>
      <c r="B191" s="297"/>
      <c r="C191" s="297"/>
      <c r="D191" s="297"/>
      <c r="E191" s="297"/>
      <c r="F191" s="297"/>
      <c r="G191" s="298"/>
      <c r="H191" s="298"/>
      <c r="I191" s="64"/>
      <c r="J191" s="64"/>
      <c r="K191" s="64"/>
      <c r="L191" s="64"/>
      <c r="M191" s="64"/>
      <c r="N191" s="64"/>
      <c r="O191" s="64"/>
      <c r="P191" s="64"/>
      <c r="Q191" s="64"/>
      <c r="R191" s="64"/>
      <c r="S191" s="64"/>
      <c r="T191" s="64"/>
      <c r="U191" s="72"/>
    </row>
    <row r="192" spans="1:27" ht="15.75" thickBot="1">
      <c r="A192" s="23"/>
      <c r="B192" s="284" t="s">
        <v>30</v>
      </c>
      <c r="C192" s="285"/>
      <c r="D192" s="285"/>
      <c r="E192" s="285"/>
      <c r="F192" s="285"/>
      <c r="G192" s="285"/>
      <c r="H192" s="285"/>
      <c r="I192" s="285"/>
      <c r="J192" s="285"/>
      <c r="K192" s="285"/>
      <c r="L192" s="285"/>
      <c r="M192" s="285"/>
      <c r="N192" s="285"/>
      <c r="O192" s="285"/>
      <c r="P192" s="285"/>
      <c r="Q192" s="285"/>
      <c r="R192" s="285"/>
      <c r="S192" s="285"/>
      <c r="T192" s="285"/>
      <c r="U192" s="286"/>
    </row>
    <row r="193" spans="1:27" ht="15" customHeight="1">
      <c r="A193" s="23"/>
      <c r="B193" s="473" t="s">
        <v>80</v>
      </c>
      <c r="C193" s="474"/>
      <c r="D193" s="474"/>
      <c r="E193" s="474"/>
      <c r="F193" s="475"/>
      <c r="G193" s="471">
        <v>11500</v>
      </c>
      <c r="H193" s="472"/>
      <c r="I193" s="74">
        <v>0</v>
      </c>
      <c r="J193" s="74">
        <v>0</v>
      </c>
      <c r="K193" s="74">
        <v>0</v>
      </c>
      <c r="L193" s="74">
        <v>0</v>
      </c>
      <c r="M193" s="74">
        <v>0</v>
      </c>
      <c r="N193" s="74">
        <v>0</v>
      </c>
      <c r="O193" s="74">
        <v>0</v>
      </c>
      <c r="P193" s="74">
        <v>0</v>
      </c>
      <c r="Q193" s="74">
        <v>0</v>
      </c>
      <c r="R193" s="74">
        <v>0</v>
      </c>
      <c r="S193" s="74">
        <v>0</v>
      </c>
      <c r="T193" s="67">
        <v>0</v>
      </c>
      <c r="U193" s="75">
        <f t="shared" ref="U193:U200" si="42">R193/G193</f>
        <v>0</v>
      </c>
      <c r="V193" s="128">
        <f t="shared" ref="V193:V200" si="43">+I193+O72</f>
        <v>0</v>
      </c>
      <c r="W193" s="128">
        <f t="shared" ref="W193:W200" si="44">+O193-V193</f>
        <v>0</v>
      </c>
      <c r="X193" s="128">
        <f t="shared" ref="X193:X200" si="45">+L193+R72</f>
        <v>0</v>
      </c>
      <c r="Y193" s="128">
        <f t="shared" ref="Y193:Y200" si="46">+R193-X193</f>
        <v>0</v>
      </c>
      <c r="Z193" s="195">
        <f t="shared" ref="Z193:Z200" si="47">+X193/G193</f>
        <v>0</v>
      </c>
      <c r="AA193" s="194">
        <f t="shared" ref="AA193:AA200" si="48">+U193-Z193</f>
        <v>0</v>
      </c>
    </row>
    <row r="194" spans="1:27" s="40" customFormat="1">
      <c r="A194" s="152"/>
      <c r="B194" s="274" t="s">
        <v>124</v>
      </c>
      <c r="C194" s="275"/>
      <c r="D194" s="275"/>
      <c r="E194" s="275"/>
      <c r="F194" s="276"/>
      <c r="G194" s="277">
        <v>30000</v>
      </c>
      <c r="H194" s="278"/>
      <c r="I194" s="116">
        <v>0</v>
      </c>
      <c r="J194" s="116">
        <v>0</v>
      </c>
      <c r="K194" s="116">
        <v>0</v>
      </c>
      <c r="L194" s="116">
        <v>0</v>
      </c>
      <c r="M194" s="116">
        <v>0</v>
      </c>
      <c r="N194" s="116">
        <v>0</v>
      </c>
      <c r="O194" s="116">
        <v>0</v>
      </c>
      <c r="P194" s="116">
        <v>0</v>
      </c>
      <c r="Q194" s="116">
        <v>0</v>
      </c>
      <c r="R194" s="116">
        <v>0</v>
      </c>
      <c r="S194" s="116">
        <v>0</v>
      </c>
      <c r="T194" s="117">
        <v>0</v>
      </c>
      <c r="U194" s="153">
        <f t="shared" si="42"/>
        <v>0</v>
      </c>
      <c r="V194" s="128">
        <f t="shared" si="43"/>
        <v>0</v>
      </c>
      <c r="W194" s="128">
        <f t="shared" si="44"/>
        <v>0</v>
      </c>
      <c r="X194" s="128">
        <f t="shared" si="45"/>
        <v>0</v>
      </c>
      <c r="Y194" s="128">
        <f t="shared" si="46"/>
        <v>0</v>
      </c>
      <c r="Z194" s="195">
        <f t="shared" si="47"/>
        <v>0</v>
      </c>
      <c r="AA194" s="194">
        <f t="shared" si="48"/>
        <v>0</v>
      </c>
    </row>
    <row r="195" spans="1:27">
      <c r="A195" s="23"/>
      <c r="B195" s="465" t="s">
        <v>123</v>
      </c>
      <c r="C195" s="466"/>
      <c r="D195" s="466"/>
      <c r="E195" s="466"/>
      <c r="F195" s="467"/>
      <c r="G195" s="463">
        <v>12328</v>
      </c>
      <c r="H195" s="464"/>
      <c r="I195" s="26">
        <v>0</v>
      </c>
      <c r="J195" s="26">
        <v>0</v>
      </c>
      <c r="K195" s="26">
        <v>0</v>
      </c>
      <c r="L195" s="26">
        <v>0</v>
      </c>
      <c r="M195" s="26">
        <v>0</v>
      </c>
      <c r="N195" s="26">
        <v>0</v>
      </c>
      <c r="O195" s="26">
        <v>0</v>
      </c>
      <c r="P195" s="26">
        <v>0</v>
      </c>
      <c r="Q195" s="26">
        <v>0</v>
      </c>
      <c r="R195" s="26">
        <v>0</v>
      </c>
      <c r="S195" s="26">
        <v>0</v>
      </c>
      <c r="T195" s="70">
        <v>0</v>
      </c>
      <c r="U195" s="71">
        <f t="shared" si="42"/>
        <v>0</v>
      </c>
      <c r="V195" s="128">
        <f t="shared" si="43"/>
        <v>0</v>
      </c>
      <c r="W195" s="128">
        <f t="shared" si="44"/>
        <v>0</v>
      </c>
      <c r="X195" s="128">
        <f t="shared" si="45"/>
        <v>0</v>
      </c>
      <c r="Y195" s="128">
        <f t="shared" si="46"/>
        <v>0</v>
      </c>
      <c r="Z195" s="195">
        <f t="shared" si="47"/>
        <v>0</v>
      </c>
      <c r="AA195" s="194">
        <f t="shared" si="48"/>
        <v>0</v>
      </c>
    </row>
    <row r="196" spans="1:27" ht="15" customHeight="1">
      <c r="A196" s="23"/>
      <c r="B196" s="465" t="s">
        <v>66</v>
      </c>
      <c r="C196" s="466"/>
      <c r="D196" s="466"/>
      <c r="E196" s="466"/>
      <c r="F196" s="467"/>
      <c r="G196" s="463">
        <v>16000</v>
      </c>
      <c r="H196" s="464"/>
      <c r="I196" s="26">
        <v>0</v>
      </c>
      <c r="J196" s="26">
        <v>0</v>
      </c>
      <c r="K196" s="26">
        <v>0</v>
      </c>
      <c r="L196" s="26">
        <v>0</v>
      </c>
      <c r="M196" s="26">
        <v>0</v>
      </c>
      <c r="N196" s="26">
        <v>0</v>
      </c>
      <c r="O196" s="26">
        <v>0</v>
      </c>
      <c r="P196" s="26">
        <v>0</v>
      </c>
      <c r="Q196" s="26">
        <v>0</v>
      </c>
      <c r="R196" s="26">
        <v>0</v>
      </c>
      <c r="S196" s="26">
        <v>0</v>
      </c>
      <c r="T196" s="70">
        <v>0</v>
      </c>
      <c r="U196" s="71">
        <f t="shared" si="42"/>
        <v>0</v>
      </c>
      <c r="V196" s="128">
        <f t="shared" si="43"/>
        <v>0</v>
      </c>
      <c r="W196" s="128">
        <f t="shared" si="44"/>
        <v>0</v>
      </c>
      <c r="X196" s="128">
        <f t="shared" si="45"/>
        <v>0</v>
      </c>
      <c r="Y196" s="128">
        <f t="shared" si="46"/>
        <v>0</v>
      </c>
      <c r="Z196" s="195">
        <f t="shared" si="47"/>
        <v>0</v>
      </c>
      <c r="AA196" s="194">
        <f t="shared" si="48"/>
        <v>0</v>
      </c>
    </row>
    <row r="197" spans="1:27" ht="15" customHeight="1">
      <c r="A197" s="23"/>
      <c r="B197" s="465" t="s">
        <v>67</v>
      </c>
      <c r="C197" s="466"/>
      <c r="D197" s="466"/>
      <c r="E197" s="466"/>
      <c r="F197" s="467"/>
      <c r="G197" s="463">
        <v>15000</v>
      </c>
      <c r="H197" s="464"/>
      <c r="I197" s="26">
        <v>0</v>
      </c>
      <c r="J197" s="26">
        <v>0</v>
      </c>
      <c r="K197" s="26">
        <v>0</v>
      </c>
      <c r="L197" s="26">
        <v>0</v>
      </c>
      <c r="M197" s="26">
        <v>0</v>
      </c>
      <c r="N197" s="26">
        <v>0</v>
      </c>
      <c r="O197" s="26">
        <v>0</v>
      </c>
      <c r="P197" s="26">
        <v>0</v>
      </c>
      <c r="Q197" s="26">
        <v>0</v>
      </c>
      <c r="R197" s="26">
        <v>0</v>
      </c>
      <c r="S197" s="26">
        <v>0</v>
      </c>
      <c r="T197" s="70">
        <v>0</v>
      </c>
      <c r="U197" s="71">
        <f t="shared" si="42"/>
        <v>0</v>
      </c>
      <c r="V197" s="128">
        <f t="shared" si="43"/>
        <v>0</v>
      </c>
      <c r="W197" s="128">
        <f t="shared" si="44"/>
        <v>0</v>
      </c>
      <c r="X197" s="128">
        <f t="shared" si="45"/>
        <v>0</v>
      </c>
      <c r="Y197" s="128">
        <f t="shared" si="46"/>
        <v>0</v>
      </c>
      <c r="Z197" s="195">
        <f t="shared" si="47"/>
        <v>0</v>
      </c>
      <c r="AA197" s="194">
        <f t="shared" si="48"/>
        <v>0</v>
      </c>
    </row>
    <row r="198" spans="1:27" ht="15" customHeight="1">
      <c r="A198" s="23"/>
      <c r="B198" s="465" t="s">
        <v>93</v>
      </c>
      <c r="C198" s="466"/>
      <c r="D198" s="466"/>
      <c r="E198" s="466"/>
      <c r="F198" s="467"/>
      <c r="G198" s="463">
        <v>12000</v>
      </c>
      <c r="H198" s="464"/>
      <c r="I198" s="26">
        <v>0</v>
      </c>
      <c r="J198" s="26">
        <v>0</v>
      </c>
      <c r="K198" s="26">
        <v>0</v>
      </c>
      <c r="L198" s="26">
        <v>0</v>
      </c>
      <c r="M198" s="26">
        <v>0</v>
      </c>
      <c r="N198" s="26">
        <v>0</v>
      </c>
      <c r="O198" s="26">
        <v>0</v>
      </c>
      <c r="P198" s="26">
        <v>0</v>
      </c>
      <c r="Q198" s="26">
        <v>0</v>
      </c>
      <c r="R198" s="26">
        <v>0</v>
      </c>
      <c r="S198" s="26">
        <v>0</v>
      </c>
      <c r="T198" s="70">
        <v>0</v>
      </c>
      <c r="U198" s="71">
        <f t="shared" si="42"/>
        <v>0</v>
      </c>
      <c r="V198" s="128">
        <f t="shared" si="43"/>
        <v>0</v>
      </c>
      <c r="W198" s="128">
        <f t="shared" si="44"/>
        <v>0</v>
      </c>
      <c r="X198" s="128">
        <f t="shared" si="45"/>
        <v>0</v>
      </c>
      <c r="Y198" s="128">
        <f t="shared" si="46"/>
        <v>0</v>
      </c>
      <c r="Z198" s="195">
        <f t="shared" si="47"/>
        <v>0</v>
      </c>
      <c r="AA198" s="194">
        <f t="shared" si="48"/>
        <v>0</v>
      </c>
    </row>
    <row r="199" spans="1:27" ht="15" customHeight="1">
      <c r="A199" s="23"/>
      <c r="B199" s="465" t="s">
        <v>69</v>
      </c>
      <c r="C199" s="466"/>
      <c r="D199" s="466"/>
      <c r="E199" s="466"/>
      <c r="F199" s="467"/>
      <c r="G199" s="463">
        <v>4400</v>
      </c>
      <c r="H199" s="464"/>
      <c r="I199" s="26">
        <v>0</v>
      </c>
      <c r="J199" s="26">
        <v>0</v>
      </c>
      <c r="K199" s="26">
        <v>0</v>
      </c>
      <c r="L199" s="26">
        <v>0</v>
      </c>
      <c r="M199" s="26">
        <v>0</v>
      </c>
      <c r="N199" s="26">
        <v>0</v>
      </c>
      <c r="O199" s="26">
        <v>0</v>
      </c>
      <c r="P199" s="26">
        <v>0</v>
      </c>
      <c r="Q199" s="26">
        <v>0</v>
      </c>
      <c r="R199" s="26">
        <v>0</v>
      </c>
      <c r="S199" s="26">
        <v>0</v>
      </c>
      <c r="T199" s="70">
        <v>0</v>
      </c>
      <c r="U199" s="71">
        <f t="shared" si="42"/>
        <v>0</v>
      </c>
      <c r="V199" s="128">
        <f t="shared" si="43"/>
        <v>0</v>
      </c>
      <c r="W199" s="128">
        <f t="shared" si="44"/>
        <v>0</v>
      </c>
      <c r="X199" s="128">
        <f t="shared" si="45"/>
        <v>0</v>
      </c>
      <c r="Y199" s="128">
        <f t="shared" si="46"/>
        <v>0</v>
      </c>
      <c r="Z199" s="195">
        <f t="shared" si="47"/>
        <v>0</v>
      </c>
      <c r="AA199" s="194">
        <f t="shared" si="48"/>
        <v>0</v>
      </c>
    </row>
    <row r="200" spans="1:27" ht="15" customHeight="1">
      <c r="A200" s="23"/>
      <c r="B200" s="465" t="s">
        <v>94</v>
      </c>
      <c r="C200" s="466"/>
      <c r="D200" s="466"/>
      <c r="E200" s="466"/>
      <c r="F200" s="467"/>
      <c r="G200" s="463">
        <v>3200</v>
      </c>
      <c r="H200" s="464"/>
      <c r="I200" s="26">
        <v>0</v>
      </c>
      <c r="J200" s="26">
        <v>0</v>
      </c>
      <c r="K200" s="26">
        <v>0</v>
      </c>
      <c r="L200" s="26">
        <v>0</v>
      </c>
      <c r="M200" s="26">
        <v>0</v>
      </c>
      <c r="N200" s="26">
        <v>0</v>
      </c>
      <c r="O200" s="26">
        <v>0</v>
      </c>
      <c r="P200" s="26">
        <v>0</v>
      </c>
      <c r="Q200" s="26">
        <v>0</v>
      </c>
      <c r="R200" s="26">
        <v>0</v>
      </c>
      <c r="S200" s="26">
        <v>0</v>
      </c>
      <c r="T200" s="70">
        <v>0</v>
      </c>
      <c r="U200" s="71">
        <f t="shared" si="42"/>
        <v>0</v>
      </c>
      <c r="V200" s="128">
        <f t="shared" si="43"/>
        <v>0</v>
      </c>
      <c r="W200" s="128">
        <f t="shared" si="44"/>
        <v>0</v>
      </c>
      <c r="X200" s="128">
        <f t="shared" si="45"/>
        <v>0</v>
      </c>
      <c r="Y200" s="128">
        <f t="shared" si="46"/>
        <v>0</v>
      </c>
      <c r="Z200" s="195">
        <f t="shared" si="47"/>
        <v>0</v>
      </c>
      <c r="AA200" s="194">
        <f t="shared" si="48"/>
        <v>0</v>
      </c>
    </row>
    <row r="201" spans="1:27" ht="15.75" thickBot="1">
      <c r="A201" s="23"/>
      <c r="B201" s="469"/>
      <c r="C201" s="297"/>
      <c r="D201" s="297"/>
      <c r="E201" s="297"/>
      <c r="F201" s="470"/>
      <c r="G201" s="456"/>
      <c r="H201" s="468"/>
      <c r="I201" s="55"/>
      <c r="J201" s="55"/>
      <c r="K201" s="55"/>
      <c r="L201" s="55"/>
      <c r="M201" s="55"/>
      <c r="N201" s="55"/>
      <c r="O201" s="55"/>
      <c r="P201" s="55"/>
      <c r="Q201" s="55"/>
      <c r="R201" s="55"/>
      <c r="S201" s="55"/>
      <c r="T201" s="76"/>
      <c r="U201" s="77"/>
      <c r="V201" s="128"/>
      <c r="W201" s="128"/>
      <c r="X201" s="128"/>
      <c r="Y201" s="128"/>
      <c r="Z201" s="195"/>
      <c r="AA201" s="194"/>
    </row>
    <row r="202" spans="1:27" ht="15.75" thickBot="1">
      <c r="A202" s="23"/>
      <c r="B202" s="257" t="s">
        <v>21</v>
      </c>
      <c r="C202" s="258"/>
      <c r="D202" s="258"/>
      <c r="E202" s="258"/>
      <c r="F202" s="259"/>
      <c r="G202" s="260">
        <f>SUM(G193:H201)</f>
        <v>104428</v>
      </c>
      <c r="H202" s="261"/>
      <c r="I202" s="29">
        <f>SUM(I193:I201)</f>
        <v>0</v>
      </c>
      <c r="J202" s="29"/>
      <c r="K202" s="29"/>
      <c r="L202" s="29">
        <f>SUM(L193:L201)</f>
        <v>0</v>
      </c>
      <c r="M202" s="29"/>
      <c r="N202" s="29"/>
      <c r="O202" s="29">
        <f>SUM(O193:O201)</f>
        <v>0</v>
      </c>
      <c r="P202" s="29"/>
      <c r="Q202" s="29"/>
      <c r="R202" s="29">
        <f>SUM(R193:R201)</f>
        <v>0</v>
      </c>
      <c r="S202" s="30"/>
      <c r="T202" s="73"/>
      <c r="U202" s="71">
        <f t="shared" ref="U202" si="49">R202/G202</f>
        <v>0</v>
      </c>
    </row>
    <row r="203" spans="1:27" ht="15.75" thickBot="1">
      <c r="C203" s="32"/>
      <c r="I203" s="33"/>
      <c r="L203" s="33"/>
      <c r="N203" s="33"/>
      <c r="U203" s="33"/>
    </row>
    <row r="204" spans="1:27" ht="15.75" thickBot="1">
      <c r="B204" s="262" t="s">
        <v>31</v>
      </c>
      <c r="C204" s="263"/>
      <c r="D204" s="263"/>
      <c r="E204" s="263"/>
      <c r="F204" s="263"/>
      <c r="G204" s="263"/>
      <c r="H204" s="263"/>
      <c r="I204" s="263"/>
      <c r="J204" s="263"/>
      <c r="K204" s="263"/>
      <c r="L204" s="263"/>
      <c r="M204" s="263"/>
      <c r="N204" s="263"/>
      <c r="O204" s="263"/>
      <c r="P204" s="263"/>
      <c r="Q204" s="263"/>
      <c r="R204" s="263"/>
      <c r="S204" s="263"/>
      <c r="T204" s="263"/>
      <c r="U204" s="263"/>
      <c r="V204" s="34"/>
    </row>
    <row r="205" spans="1:27" ht="15" customHeight="1" thickBot="1">
      <c r="B205" s="264"/>
      <c r="C205" s="265"/>
      <c r="D205" s="267" t="s">
        <v>15</v>
      </c>
      <c r="E205" s="268"/>
      <c r="F205" s="268"/>
      <c r="G205" s="268"/>
      <c r="H205" s="268"/>
      <c r="I205" s="269"/>
      <c r="J205" s="267" t="s">
        <v>32</v>
      </c>
      <c r="K205" s="268"/>
      <c r="L205" s="268"/>
      <c r="M205" s="268"/>
      <c r="N205" s="268"/>
      <c r="O205" s="269"/>
      <c r="P205" s="267" t="s">
        <v>17</v>
      </c>
      <c r="Q205" s="268"/>
      <c r="R205" s="268"/>
      <c r="S205" s="268"/>
      <c r="T205" s="268"/>
      <c r="U205" s="35"/>
    </row>
    <row r="206" spans="1:27" ht="15.75" customHeight="1" thickBot="1">
      <c r="B206" s="219"/>
      <c r="C206" s="266"/>
      <c r="D206" s="270" t="s">
        <v>26</v>
      </c>
      <c r="E206" s="271"/>
      <c r="F206" s="272" t="s">
        <v>27</v>
      </c>
      <c r="G206" s="273"/>
      <c r="H206" s="268" t="s">
        <v>28</v>
      </c>
      <c r="I206" s="269"/>
      <c r="J206" s="272" t="s">
        <v>26</v>
      </c>
      <c r="K206" s="273"/>
      <c r="L206" s="272" t="s">
        <v>27</v>
      </c>
      <c r="M206" s="273"/>
      <c r="N206" s="268" t="s">
        <v>28</v>
      </c>
      <c r="O206" s="269"/>
      <c r="P206" s="272" t="s">
        <v>26</v>
      </c>
      <c r="Q206" s="273"/>
      <c r="R206" s="272" t="s">
        <v>27</v>
      </c>
      <c r="S206" s="273"/>
      <c r="T206" s="268" t="s">
        <v>28</v>
      </c>
      <c r="U206" s="269"/>
    </row>
    <row r="207" spans="1:27" ht="30" customHeight="1">
      <c r="A207" s="23"/>
      <c r="B207" s="250" t="s">
        <v>33</v>
      </c>
      <c r="C207" s="251"/>
      <c r="D207" s="252">
        <v>675408</v>
      </c>
      <c r="E207" s="253"/>
      <c r="F207" s="252">
        <v>0</v>
      </c>
      <c r="G207" s="253"/>
      <c r="H207" s="252">
        <v>0</v>
      </c>
      <c r="I207" s="253"/>
      <c r="J207" s="254">
        <v>27887.03</v>
      </c>
      <c r="K207" s="255"/>
      <c r="L207" s="240">
        <v>0</v>
      </c>
      <c r="M207" s="253"/>
      <c r="N207" s="240">
        <v>0</v>
      </c>
      <c r="O207" s="256"/>
      <c r="P207" s="254">
        <f>23416.71+27887.03</f>
        <v>51303.74</v>
      </c>
      <c r="Q207" s="255"/>
      <c r="R207" s="240">
        <v>0</v>
      </c>
      <c r="S207" s="253"/>
      <c r="T207" s="240">
        <v>0</v>
      </c>
      <c r="U207" s="241"/>
    </row>
    <row r="208" spans="1:27" ht="30" customHeight="1" thickBot="1">
      <c r="A208" s="4"/>
      <c r="B208" s="242" t="s">
        <v>34</v>
      </c>
      <c r="C208" s="243"/>
      <c r="D208" s="244">
        <v>104428</v>
      </c>
      <c r="E208" s="245"/>
      <c r="F208" s="244">
        <v>0</v>
      </c>
      <c r="G208" s="245"/>
      <c r="H208" s="244">
        <v>0</v>
      </c>
      <c r="I208" s="245"/>
      <c r="J208" s="244">
        <v>0</v>
      </c>
      <c r="K208" s="245"/>
      <c r="L208" s="246">
        <v>0</v>
      </c>
      <c r="M208" s="245"/>
      <c r="N208" s="246">
        <v>0</v>
      </c>
      <c r="O208" s="247"/>
      <c r="P208" s="248">
        <v>0</v>
      </c>
      <c r="Q208" s="249"/>
      <c r="R208" s="246">
        <v>0</v>
      </c>
      <c r="S208" s="245"/>
      <c r="T208" s="246">
        <v>0</v>
      </c>
      <c r="U208" s="247"/>
    </row>
    <row r="209" spans="1:21" ht="15.75" thickBot="1">
      <c r="A209" s="23"/>
      <c r="B209" s="233" t="s">
        <v>21</v>
      </c>
      <c r="C209" s="234"/>
      <c r="D209" s="235">
        <f>SUM(D207:E208)</f>
        <v>779836</v>
      </c>
      <c r="E209" s="236"/>
      <c r="F209" s="235">
        <f>SUM(F207:G208)</f>
        <v>0</v>
      </c>
      <c r="G209" s="236"/>
      <c r="H209" s="235">
        <f>SUM(H207:I208)</f>
        <v>0</v>
      </c>
      <c r="I209" s="236"/>
      <c r="J209" s="237">
        <f>SUM(J207:K208)</f>
        <v>27887.03</v>
      </c>
      <c r="K209" s="238"/>
      <c r="L209" s="215">
        <f>SUM(L207:M208)</f>
        <v>0</v>
      </c>
      <c r="M209" s="238"/>
      <c r="N209" s="236">
        <f>SUM(N207:O208)</f>
        <v>0</v>
      </c>
      <c r="O209" s="236"/>
      <c r="P209" s="237">
        <f>SUM(P207:Q208)</f>
        <v>51303.74</v>
      </c>
      <c r="Q209" s="239"/>
      <c r="R209" s="215">
        <f>SUM(R207:S208)</f>
        <v>0</v>
      </c>
      <c r="S209" s="238"/>
      <c r="T209" s="215">
        <f>SUM(T207:U208)</f>
        <v>0</v>
      </c>
      <c r="U209" s="216"/>
    </row>
    <row r="210" spans="1:21">
      <c r="A210" s="23"/>
      <c r="B210" s="60"/>
      <c r="C210" s="60"/>
      <c r="D210" s="60"/>
      <c r="E210" s="60"/>
      <c r="F210" s="57"/>
      <c r="G210" s="57"/>
      <c r="H210" s="62"/>
      <c r="I210" s="62"/>
      <c r="J210" s="57"/>
      <c r="K210" s="57"/>
      <c r="L210" s="57"/>
      <c r="M210" s="62"/>
      <c r="N210" s="57"/>
      <c r="O210" s="62"/>
      <c r="P210" s="62"/>
      <c r="Q210" s="57"/>
      <c r="R210" s="23"/>
      <c r="S210" s="23"/>
      <c r="T210" s="23"/>
      <c r="U210" s="23"/>
    </row>
    <row r="211" spans="1:21" ht="15.75" thickBot="1">
      <c r="A211" s="23"/>
      <c r="B211" s="60"/>
      <c r="C211" s="60"/>
      <c r="D211" s="60"/>
      <c r="E211" s="60"/>
      <c r="F211" s="57"/>
      <c r="G211" s="57"/>
      <c r="H211" s="57"/>
      <c r="I211" s="57"/>
      <c r="J211" s="57"/>
      <c r="K211" s="57"/>
      <c r="L211" s="57"/>
      <c r="M211" s="57"/>
      <c r="N211" s="57"/>
      <c r="O211" s="57"/>
      <c r="P211" s="57"/>
      <c r="Q211" s="57"/>
      <c r="R211" s="23"/>
      <c r="S211" s="23"/>
      <c r="T211" s="23"/>
      <c r="U211" s="23"/>
    </row>
    <row r="212" spans="1:21" ht="15.75" thickBot="1">
      <c r="B212" s="217" t="s">
        <v>35</v>
      </c>
      <c r="C212" s="218"/>
      <c r="D212" s="218"/>
      <c r="E212" s="219"/>
      <c r="F212" s="205"/>
      <c r="G212" s="205"/>
      <c r="H212" s="205"/>
      <c r="I212" s="205"/>
      <c r="J212" s="205"/>
      <c r="K212" s="205"/>
      <c r="L212" s="205"/>
      <c r="M212" s="205"/>
      <c r="N212" s="205"/>
      <c r="O212" s="205"/>
      <c r="P212" s="205"/>
      <c r="Q212" s="205"/>
      <c r="R212" s="205"/>
      <c r="S212" s="205"/>
      <c r="T212" s="205"/>
      <c r="U212" s="205"/>
    </row>
    <row r="213" spans="1:21">
      <c r="B213" s="444"/>
      <c r="C213" s="445"/>
      <c r="D213" s="445"/>
      <c r="E213" s="445"/>
      <c r="F213" s="445"/>
      <c r="G213" s="445"/>
      <c r="H213" s="445"/>
      <c r="I213" s="445"/>
      <c r="J213" s="445"/>
      <c r="K213" s="445"/>
      <c r="L213" s="445"/>
      <c r="M213" s="445"/>
      <c r="N213" s="445"/>
      <c r="O213" s="445"/>
      <c r="P213" s="445"/>
      <c r="Q213" s="445"/>
      <c r="R213" s="445"/>
      <c r="S213" s="445"/>
      <c r="T213" s="445"/>
      <c r="U213" s="446"/>
    </row>
    <row r="214" spans="1:21">
      <c r="B214" s="447"/>
      <c r="C214" s="448"/>
      <c r="D214" s="448"/>
      <c r="E214" s="448"/>
      <c r="F214" s="448"/>
      <c r="G214" s="448"/>
      <c r="H214" s="448"/>
      <c r="I214" s="448"/>
      <c r="J214" s="448"/>
      <c r="K214" s="448"/>
      <c r="L214" s="448"/>
      <c r="M214" s="448"/>
      <c r="N214" s="448"/>
      <c r="O214" s="448"/>
      <c r="P214" s="448"/>
      <c r="Q214" s="448"/>
      <c r="R214" s="448"/>
      <c r="S214" s="448"/>
      <c r="T214" s="448"/>
      <c r="U214" s="449"/>
    </row>
    <row r="215" spans="1:21">
      <c r="B215" s="447"/>
      <c r="C215" s="448"/>
      <c r="D215" s="448"/>
      <c r="E215" s="448"/>
      <c r="F215" s="448"/>
      <c r="G215" s="448"/>
      <c r="H215" s="448"/>
      <c r="I215" s="448"/>
      <c r="J215" s="448"/>
      <c r="K215" s="448"/>
      <c r="L215" s="448"/>
      <c r="M215" s="448"/>
      <c r="N215" s="448"/>
      <c r="O215" s="448"/>
      <c r="P215" s="448"/>
      <c r="Q215" s="448"/>
      <c r="R215" s="448"/>
      <c r="S215" s="448"/>
      <c r="T215" s="448"/>
      <c r="U215" s="449"/>
    </row>
    <row r="216" spans="1:21">
      <c r="B216" s="447"/>
      <c r="C216" s="448"/>
      <c r="D216" s="448"/>
      <c r="E216" s="448"/>
      <c r="F216" s="448"/>
      <c r="G216" s="448"/>
      <c r="H216" s="448"/>
      <c r="I216" s="448"/>
      <c r="J216" s="448"/>
      <c r="K216" s="448"/>
      <c r="L216" s="448"/>
      <c r="M216" s="448"/>
      <c r="N216" s="448"/>
      <c r="O216" s="448"/>
      <c r="P216" s="448"/>
      <c r="Q216" s="448"/>
      <c r="R216" s="448"/>
      <c r="S216" s="448"/>
      <c r="T216" s="448"/>
      <c r="U216" s="449"/>
    </row>
    <row r="217" spans="1:21">
      <c r="B217" s="447"/>
      <c r="C217" s="448"/>
      <c r="D217" s="448"/>
      <c r="E217" s="448"/>
      <c r="F217" s="448"/>
      <c r="G217" s="448"/>
      <c r="H217" s="448"/>
      <c r="I217" s="448"/>
      <c r="J217" s="448"/>
      <c r="K217" s="448"/>
      <c r="L217" s="448"/>
      <c r="M217" s="448"/>
      <c r="N217" s="448"/>
      <c r="O217" s="448"/>
      <c r="P217" s="448"/>
      <c r="Q217" s="448"/>
      <c r="R217" s="448"/>
      <c r="S217" s="448"/>
      <c r="T217" s="448"/>
      <c r="U217" s="449"/>
    </row>
    <row r="218" spans="1:21">
      <c r="B218" s="447"/>
      <c r="C218" s="448"/>
      <c r="D218" s="448"/>
      <c r="E218" s="448"/>
      <c r="F218" s="448"/>
      <c r="G218" s="448"/>
      <c r="H218" s="448"/>
      <c r="I218" s="448"/>
      <c r="J218" s="448"/>
      <c r="K218" s="448"/>
      <c r="L218" s="448"/>
      <c r="M218" s="448"/>
      <c r="N218" s="448"/>
      <c r="O218" s="448"/>
      <c r="P218" s="448"/>
      <c r="Q218" s="448"/>
      <c r="R218" s="448"/>
      <c r="S218" s="448"/>
      <c r="T218" s="448"/>
      <c r="U218" s="449"/>
    </row>
    <row r="219" spans="1:21" ht="15.75" thickBot="1">
      <c r="B219" s="450"/>
      <c r="C219" s="451"/>
      <c r="D219" s="451"/>
      <c r="E219" s="451"/>
      <c r="F219" s="451"/>
      <c r="G219" s="451"/>
      <c r="H219" s="451"/>
      <c r="I219" s="451"/>
      <c r="J219" s="451"/>
      <c r="K219" s="451"/>
      <c r="L219" s="451"/>
      <c r="M219" s="451"/>
      <c r="N219" s="451"/>
      <c r="O219" s="451"/>
      <c r="P219" s="451"/>
      <c r="Q219" s="451"/>
      <c r="R219" s="451"/>
      <c r="S219" s="451"/>
      <c r="T219" s="451"/>
      <c r="U219" s="452"/>
    </row>
    <row r="220" spans="1:21">
      <c r="B220" s="23"/>
    </row>
    <row r="221" spans="1:21">
      <c r="H221" s="40"/>
      <c r="I221" s="40"/>
      <c r="O221" s="40"/>
      <c r="Q221" s="40"/>
    </row>
    <row r="222" spans="1:21">
      <c r="B222" s="220" t="s">
        <v>38</v>
      </c>
      <c r="C222" s="220"/>
      <c r="D222" s="220"/>
      <c r="E222" s="220"/>
      <c r="F222" s="220"/>
      <c r="G222" s="220"/>
      <c r="I222" s="41"/>
      <c r="J222" s="213" t="s">
        <v>36</v>
      </c>
      <c r="K222" s="213"/>
      <c r="L222" s="213"/>
      <c r="M222" s="213"/>
      <c r="N222" s="213"/>
      <c r="O222" s="213"/>
      <c r="R222" s="213" t="s">
        <v>37</v>
      </c>
      <c r="S222" s="213"/>
      <c r="T222" s="213"/>
      <c r="U222" s="213"/>
    </row>
    <row r="223" spans="1:21">
      <c r="B223" s="220"/>
      <c r="C223" s="220"/>
      <c r="D223" s="220"/>
      <c r="E223" s="220"/>
      <c r="F223" s="220"/>
      <c r="G223" s="220"/>
      <c r="H223" s="42"/>
      <c r="I223" s="42"/>
      <c r="J223" s="221"/>
      <c r="K223" s="221"/>
      <c r="L223" s="221"/>
      <c r="M223" s="221"/>
      <c r="N223" s="221"/>
      <c r="O223" s="221"/>
      <c r="P223" s="42"/>
      <c r="Q223" s="42"/>
      <c r="R223" s="210" t="s">
        <v>0</v>
      </c>
      <c r="S223" s="210"/>
      <c r="T223" s="210"/>
      <c r="U223" s="210"/>
    </row>
    <row r="224" spans="1:21">
      <c r="B224" s="220"/>
      <c r="C224" s="220"/>
      <c r="D224" s="220"/>
      <c r="E224" s="220"/>
      <c r="F224" s="220"/>
      <c r="G224" s="220"/>
      <c r="H224" s="167"/>
      <c r="I224" s="167"/>
      <c r="J224" s="221"/>
      <c r="K224" s="221"/>
      <c r="L224" s="221"/>
      <c r="M224" s="221"/>
      <c r="N224" s="221"/>
      <c r="O224" s="221"/>
      <c r="P224" s="167"/>
      <c r="Q224" s="167"/>
      <c r="R224" s="210"/>
      <c r="S224" s="210"/>
      <c r="T224" s="210"/>
      <c r="U224" s="210"/>
    </row>
    <row r="225" spans="2:21">
      <c r="B225" s="220"/>
      <c r="C225" s="220"/>
      <c r="D225" s="220"/>
      <c r="E225" s="220"/>
      <c r="F225" s="220"/>
      <c r="G225" s="220"/>
      <c r="H225" s="167"/>
      <c r="I225" s="167"/>
      <c r="J225" s="221"/>
      <c r="K225" s="221"/>
      <c r="L225" s="221"/>
      <c r="M225" s="221"/>
      <c r="N225" s="221"/>
      <c r="O225" s="221"/>
      <c r="P225" s="167"/>
      <c r="Q225" s="167"/>
      <c r="R225" s="210"/>
      <c r="S225" s="210"/>
      <c r="T225" s="210"/>
      <c r="U225" s="210"/>
    </row>
    <row r="226" spans="2:21">
      <c r="B226" s="220"/>
      <c r="C226" s="220"/>
      <c r="D226" s="220"/>
      <c r="E226" s="220"/>
      <c r="F226" s="220"/>
      <c r="G226" s="220"/>
      <c r="H226" s="167"/>
      <c r="I226" s="167"/>
      <c r="J226" s="221"/>
      <c r="K226" s="221"/>
      <c r="L226" s="221"/>
      <c r="M226" s="221"/>
      <c r="N226" s="221"/>
      <c r="O226" s="221"/>
      <c r="P226" s="167"/>
      <c r="Q226" s="167"/>
      <c r="R226" s="210"/>
      <c r="S226" s="210"/>
      <c r="T226" s="210"/>
      <c r="U226" s="210"/>
    </row>
    <row r="227" spans="2:21" ht="15.75" thickBot="1">
      <c r="B227" s="223"/>
      <c r="C227" s="223"/>
      <c r="D227" s="223"/>
      <c r="E227" s="223"/>
      <c r="F227" s="223"/>
      <c r="G227" s="223"/>
      <c r="J227" s="222"/>
      <c r="K227" s="222"/>
      <c r="L227" s="222"/>
      <c r="M227" s="222"/>
      <c r="N227" s="222"/>
      <c r="O227" s="222"/>
      <c r="R227" s="205"/>
      <c r="S227" s="205"/>
      <c r="T227" s="205"/>
      <c r="U227" s="205"/>
    </row>
    <row r="228" spans="2:21">
      <c r="B228" s="210" t="s">
        <v>101</v>
      </c>
      <c r="C228" s="210"/>
      <c r="D228" s="210"/>
      <c r="E228" s="210"/>
      <c r="F228" s="210"/>
      <c r="G228" s="210"/>
      <c r="J228" s="204" t="s">
        <v>102</v>
      </c>
      <c r="K228" s="204"/>
      <c r="L228" s="204"/>
      <c r="M228" s="204"/>
      <c r="N228" s="204"/>
      <c r="O228" s="204"/>
      <c r="R228" s="211" t="s">
        <v>136</v>
      </c>
      <c r="S228" s="211"/>
      <c r="T228" s="211"/>
      <c r="U228" s="211"/>
    </row>
    <row r="229" spans="2:21">
      <c r="B229" s="204" t="s">
        <v>103</v>
      </c>
      <c r="C229" s="204"/>
      <c r="D229" s="204"/>
      <c r="E229" s="204"/>
      <c r="F229" s="204"/>
      <c r="G229" s="204"/>
      <c r="J229" s="212" t="s">
        <v>104</v>
      </c>
      <c r="K229" s="212"/>
      <c r="L229" s="212"/>
      <c r="M229" s="212"/>
      <c r="N229" s="212"/>
      <c r="O229" s="212"/>
      <c r="P229" s="118"/>
      <c r="Q229" s="118"/>
      <c r="R229" s="212" t="s">
        <v>105</v>
      </c>
      <c r="S229" s="212"/>
      <c r="T229" s="212"/>
      <c r="U229" s="212"/>
    </row>
    <row r="231" spans="2:21">
      <c r="J231" s="213" t="s">
        <v>50</v>
      </c>
      <c r="K231" s="213"/>
      <c r="L231" s="213"/>
      <c r="M231" s="213"/>
      <c r="N231" s="213"/>
      <c r="O231" s="213"/>
    </row>
    <row r="232" spans="2:21">
      <c r="C232" s="214" t="s">
        <v>157</v>
      </c>
      <c r="D232" s="214"/>
      <c r="E232" s="214"/>
      <c r="F232" s="214"/>
      <c r="J232" s="206" t="s">
        <v>48</v>
      </c>
      <c r="K232" s="206"/>
      <c r="L232" s="206"/>
      <c r="M232" s="206"/>
      <c r="N232" s="206"/>
      <c r="O232" s="206"/>
      <c r="R232" s="206" t="s">
        <v>51</v>
      </c>
      <c r="S232" s="206"/>
      <c r="T232" s="206"/>
      <c r="U232" s="206"/>
    </row>
    <row r="233" spans="2:21">
      <c r="B233" s="204"/>
      <c r="C233" s="204"/>
      <c r="D233" s="204"/>
      <c r="E233" s="204"/>
      <c r="F233" s="204"/>
      <c r="G233" s="204"/>
      <c r="J233" s="206"/>
      <c r="K233" s="206"/>
      <c r="L233" s="206"/>
      <c r="M233" s="206"/>
      <c r="N233" s="206"/>
      <c r="O233" s="206"/>
      <c r="R233" s="204"/>
      <c r="S233" s="204"/>
      <c r="T233" s="204"/>
      <c r="U233" s="204"/>
    </row>
    <row r="234" spans="2:21">
      <c r="B234" s="204"/>
      <c r="C234" s="204"/>
      <c r="D234" s="204"/>
      <c r="E234" s="204"/>
      <c r="F234" s="204"/>
      <c r="G234" s="204"/>
      <c r="J234" s="206"/>
      <c r="K234" s="206"/>
      <c r="L234" s="206"/>
      <c r="M234" s="206"/>
      <c r="N234" s="206"/>
      <c r="O234" s="206"/>
      <c r="R234" s="204"/>
      <c r="S234" s="204"/>
      <c r="T234" s="204"/>
      <c r="U234" s="204"/>
    </row>
    <row r="235" spans="2:21">
      <c r="B235" s="204"/>
      <c r="C235" s="204"/>
      <c r="D235" s="204"/>
      <c r="E235" s="204"/>
      <c r="F235" s="204"/>
      <c r="G235" s="204"/>
      <c r="J235" s="206"/>
      <c r="K235" s="206"/>
      <c r="L235" s="206"/>
      <c r="M235" s="206"/>
      <c r="N235" s="206"/>
      <c r="O235" s="206"/>
      <c r="R235" s="204"/>
      <c r="S235" s="204"/>
      <c r="T235" s="204"/>
      <c r="U235" s="204"/>
    </row>
    <row r="236" spans="2:21" ht="15.75" thickBot="1">
      <c r="B236" s="205"/>
      <c r="C236" s="205"/>
      <c r="D236" s="205"/>
      <c r="E236" s="205"/>
      <c r="F236" s="205"/>
      <c r="G236" s="205"/>
      <c r="H236" s="51"/>
      <c r="I236" s="51"/>
      <c r="J236" s="207"/>
      <c r="K236" s="207"/>
      <c r="L236" s="207"/>
      <c r="M236" s="207"/>
      <c r="N236" s="207"/>
      <c r="O236" s="207"/>
      <c r="P236" s="51"/>
      <c r="Q236" s="51"/>
      <c r="R236" s="205"/>
      <c r="S236" s="205"/>
      <c r="T236" s="205"/>
      <c r="U236" s="205"/>
    </row>
    <row r="237" spans="2:21">
      <c r="B237" s="208" t="s">
        <v>106</v>
      </c>
      <c r="C237" s="208"/>
      <c r="D237" s="208"/>
      <c r="E237" s="208"/>
      <c r="F237" s="208"/>
      <c r="G237" s="208"/>
      <c r="H237" s="119"/>
      <c r="I237" s="119"/>
      <c r="J237" s="208" t="s">
        <v>107</v>
      </c>
      <c r="K237" s="208"/>
      <c r="L237" s="208"/>
      <c r="M237" s="208"/>
      <c r="N237" s="208"/>
      <c r="O237" s="208"/>
      <c r="P237" s="51"/>
      <c r="Q237" s="51"/>
      <c r="R237" s="208" t="s">
        <v>108</v>
      </c>
      <c r="S237" s="208"/>
      <c r="T237" s="208"/>
      <c r="U237" s="208"/>
    </row>
    <row r="238" spans="2:21" ht="32.25" customHeight="1">
      <c r="B238" s="209" t="s">
        <v>109</v>
      </c>
      <c r="C238" s="209"/>
      <c r="D238" s="209"/>
      <c r="E238" s="209"/>
      <c r="F238" s="209"/>
      <c r="G238" s="209"/>
      <c r="J238" s="209" t="s">
        <v>110</v>
      </c>
      <c r="K238" s="209"/>
      <c r="L238" s="209"/>
      <c r="M238" s="209"/>
      <c r="N238" s="209"/>
      <c r="O238" s="209"/>
      <c r="R238" s="209" t="s">
        <v>111</v>
      </c>
      <c r="S238" s="209"/>
      <c r="T238" s="209"/>
      <c r="U238" s="209"/>
    </row>
    <row r="241" spans="1:21" ht="23.25">
      <c r="B241" s="443" t="s">
        <v>72</v>
      </c>
      <c r="C241" s="443"/>
      <c r="D241" s="443"/>
      <c r="E241" s="443"/>
      <c r="F241" s="443"/>
      <c r="G241" s="443"/>
      <c r="H241" s="443"/>
      <c r="I241" s="443"/>
      <c r="J241" s="443"/>
      <c r="K241" s="443"/>
      <c r="L241" s="443"/>
      <c r="M241" s="443"/>
      <c r="N241" s="443"/>
      <c r="O241" s="443"/>
      <c r="P241" s="443"/>
      <c r="Q241" s="443"/>
      <c r="R241" s="443"/>
      <c r="S241" s="443"/>
      <c r="T241" s="443"/>
      <c r="U241" s="443"/>
    </row>
    <row r="242" spans="1:21" ht="15" customHeight="1"/>
    <row r="245" spans="1:21" ht="15" customHeight="1"/>
    <row r="246" spans="1:21" ht="15" customHeight="1">
      <c r="F246" s="1"/>
      <c r="G246" s="1"/>
      <c r="H246" s="1"/>
      <c r="I246" s="1"/>
      <c r="J246" s="1"/>
      <c r="K246" s="1"/>
      <c r="L246" s="1"/>
      <c r="M246" s="1"/>
      <c r="N246" s="1"/>
      <c r="O246" s="1"/>
    </row>
    <row r="247" spans="1:21" ht="15" customHeight="1">
      <c r="B247" s="427" t="s">
        <v>125</v>
      </c>
      <c r="C247" s="427"/>
      <c r="D247" s="427"/>
      <c r="E247" s="427"/>
      <c r="F247" s="427"/>
      <c r="G247" s="427"/>
      <c r="H247" s="427"/>
      <c r="I247" s="427"/>
      <c r="J247" s="427"/>
      <c r="K247" s="427"/>
      <c r="L247" s="427"/>
      <c r="M247" s="427"/>
      <c r="N247" s="427"/>
      <c r="O247" s="427"/>
      <c r="P247" s="427"/>
      <c r="Q247" s="427"/>
      <c r="R247" s="427"/>
      <c r="S247" s="427"/>
      <c r="T247" s="427"/>
      <c r="U247" s="427"/>
    </row>
    <row r="248" spans="1:21" ht="15" customHeight="1">
      <c r="F248" t="s">
        <v>0</v>
      </c>
    </row>
    <row r="249" spans="1:21" ht="15" customHeight="1">
      <c r="B249" s="2"/>
      <c r="C249" s="2"/>
      <c r="D249" s="2"/>
      <c r="E249" s="2"/>
      <c r="F249" s="2"/>
      <c r="G249" s="2"/>
      <c r="H249" s="2"/>
      <c r="I249" s="2"/>
      <c r="J249" s="2"/>
      <c r="K249" s="2"/>
      <c r="L249" s="2"/>
      <c r="M249" s="2"/>
      <c r="N249" s="2"/>
      <c r="O249" s="2"/>
      <c r="P249" s="2"/>
      <c r="Q249" s="2"/>
      <c r="R249" s="2"/>
      <c r="S249" s="2"/>
      <c r="T249" s="2"/>
      <c r="U249" s="2"/>
    </row>
    <row r="250" spans="1:21" ht="15" customHeight="1" thickBot="1">
      <c r="B250" s="3"/>
      <c r="C250" s="3"/>
      <c r="D250" s="3"/>
      <c r="E250" s="3"/>
      <c r="F250" s="3"/>
      <c r="G250" s="3"/>
      <c r="H250" s="3"/>
      <c r="I250" s="3"/>
      <c r="J250" s="3"/>
      <c r="K250" s="3"/>
      <c r="L250" s="3"/>
      <c r="M250" s="3"/>
      <c r="N250" s="3"/>
      <c r="O250" s="3"/>
      <c r="P250" s="3"/>
      <c r="Q250" s="3"/>
      <c r="R250" s="3"/>
      <c r="S250" s="3"/>
      <c r="T250" s="3"/>
      <c r="U250" s="3"/>
    </row>
    <row r="251" spans="1:21" ht="15" customHeight="1">
      <c r="B251" s="385" t="s">
        <v>1</v>
      </c>
      <c r="C251" s="386"/>
      <c r="D251" s="386"/>
      <c r="E251" s="386"/>
      <c r="F251" s="387"/>
      <c r="G251" s="428" t="s">
        <v>164</v>
      </c>
      <c r="H251" s="429"/>
      <c r="I251" s="429"/>
      <c r="J251" s="429"/>
      <c r="K251" s="429"/>
      <c r="L251" s="429"/>
      <c r="M251" s="429"/>
      <c r="N251" s="429"/>
      <c r="O251" s="429"/>
      <c r="P251" s="429"/>
      <c r="Q251" s="429"/>
      <c r="R251" s="429"/>
      <c r="S251" s="429"/>
      <c r="T251" s="429"/>
      <c r="U251" s="430"/>
    </row>
    <row r="252" spans="1:21" ht="15" customHeight="1">
      <c r="A252" s="4"/>
      <c r="B252" s="431" t="s">
        <v>2</v>
      </c>
      <c r="C252" s="432"/>
      <c r="D252" s="432"/>
      <c r="E252" s="432"/>
      <c r="F252" s="433"/>
      <c r="G252" s="434" t="s">
        <v>163</v>
      </c>
      <c r="H252" s="435"/>
      <c r="I252" s="435"/>
      <c r="J252" s="435"/>
      <c r="K252" s="435"/>
      <c r="L252" s="435"/>
      <c r="M252" s="435"/>
      <c r="N252" s="435"/>
      <c r="O252" s="435"/>
      <c r="P252" s="435"/>
      <c r="Q252" s="435"/>
      <c r="R252" s="435"/>
      <c r="S252" s="435"/>
      <c r="T252" s="435"/>
      <c r="U252" s="436"/>
    </row>
    <row r="253" spans="1:21" ht="15" customHeight="1">
      <c r="A253" s="4"/>
      <c r="B253" s="385" t="s">
        <v>3</v>
      </c>
      <c r="C253" s="386"/>
      <c r="D253" s="386"/>
      <c r="E253" s="386"/>
      <c r="F253" s="387"/>
      <c r="G253" s="437" t="s">
        <v>156</v>
      </c>
      <c r="H253" s="438"/>
      <c r="I253" s="438"/>
      <c r="J253" s="438"/>
      <c r="K253" s="438"/>
      <c r="L253" s="438"/>
      <c r="M253" s="438"/>
      <c r="N253" s="438"/>
      <c r="O253" s="438"/>
      <c r="P253" s="438"/>
      <c r="Q253" s="438"/>
      <c r="R253" s="438"/>
      <c r="S253" s="438"/>
      <c r="T253" s="438"/>
      <c r="U253" s="439"/>
    </row>
    <row r="254" spans="1:21" ht="15" customHeight="1">
      <c r="A254" s="4"/>
      <c r="B254" s="385" t="s">
        <v>4</v>
      </c>
      <c r="C254" s="386"/>
      <c r="D254" s="386"/>
      <c r="E254" s="386"/>
      <c r="F254" s="387"/>
      <c r="G254" s="440" t="s">
        <v>165</v>
      </c>
      <c r="H254" s="441"/>
      <c r="I254" s="441"/>
      <c r="J254" s="441"/>
      <c r="K254" s="441"/>
      <c r="L254" s="441"/>
      <c r="M254" s="441"/>
      <c r="N254" s="441"/>
      <c r="O254" s="441"/>
      <c r="P254" s="441"/>
      <c r="Q254" s="441"/>
      <c r="R254" s="441"/>
      <c r="S254" s="441"/>
      <c r="T254" s="441"/>
      <c r="U254" s="442"/>
    </row>
    <row r="255" spans="1:21" ht="15" customHeight="1">
      <c r="A255" s="4"/>
      <c r="B255" s="385" t="s">
        <v>5</v>
      </c>
      <c r="C255" s="386"/>
      <c r="D255" s="386"/>
      <c r="E255" s="386"/>
      <c r="F255" s="387"/>
      <c r="G255" s="410" t="s">
        <v>6</v>
      </c>
      <c r="H255" s="411"/>
      <c r="I255" s="412">
        <v>779836</v>
      </c>
      <c r="J255" s="413"/>
      <c r="K255" s="413"/>
      <c r="L255" s="414"/>
      <c r="M255" s="5" t="s">
        <v>7</v>
      </c>
      <c r="N255" s="412">
        <v>0</v>
      </c>
      <c r="O255" s="413"/>
      <c r="P255" s="413"/>
      <c r="Q255" s="414"/>
      <c r="R255" s="415" t="s">
        <v>8</v>
      </c>
      <c r="S255" s="416"/>
      <c r="T255" s="412">
        <v>0</v>
      </c>
      <c r="U255" s="417"/>
    </row>
    <row r="256" spans="1:21">
      <c r="A256" s="4"/>
      <c r="B256" s="385" t="s">
        <v>9</v>
      </c>
      <c r="C256" s="386"/>
      <c r="D256" s="386"/>
      <c r="E256" s="386"/>
      <c r="F256" s="387"/>
      <c r="G256" s="418" t="s">
        <v>6</v>
      </c>
      <c r="H256" s="419"/>
      <c r="I256" s="412">
        <v>0</v>
      </c>
      <c r="J256" s="413"/>
      <c r="K256" s="413"/>
      <c r="L256" s="414"/>
      <c r="M256" s="5" t="s">
        <v>7</v>
      </c>
      <c r="N256" s="420">
        <v>0</v>
      </c>
      <c r="O256" s="421"/>
      <c r="P256" s="421"/>
      <c r="Q256" s="422"/>
      <c r="R256" s="423"/>
      <c r="S256" s="424"/>
      <c r="T256" s="424"/>
      <c r="U256" s="425"/>
    </row>
    <row r="257" spans="1:27" ht="15.75" thickBot="1">
      <c r="A257" s="4"/>
      <c r="B257" s="385" t="s">
        <v>10</v>
      </c>
      <c r="C257" s="386"/>
      <c r="D257" s="386"/>
      <c r="E257" s="386"/>
      <c r="F257" s="387"/>
      <c r="G257" s="460" t="s">
        <v>73</v>
      </c>
      <c r="H257" s="461"/>
      <c r="I257" s="461"/>
      <c r="J257" s="461"/>
      <c r="K257" s="461"/>
      <c r="L257" s="461"/>
      <c r="M257" s="461"/>
      <c r="N257" s="461"/>
      <c r="O257" s="461"/>
      <c r="P257" s="461"/>
      <c r="Q257" s="461"/>
      <c r="R257" s="461"/>
      <c r="S257" s="461"/>
      <c r="T257" s="461"/>
      <c r="U257" s="462"/>
    </row>
    <row r="258" spans="1:27" ht="15.75" customHeight="1" thickBot="1">
      <c r="A258" s="4"/>
      <c r="B258" s="391" t="s">
        <v>11</v>
      </c>
      <c r="C258" s="392"/>
      <c r="D258" s="392"/>
      <c r="E258" s="392"/>
      <c r="F258" s="393"/>
      <c r="G258" s="394" t="s">
        <v>118</v>
      </c>
      <c r="H258" s="395"/>
      <c r="I258" s="395"/>
      <c r="J258" s="395"/>
      <c r="K258" s="395"/>
      <c r="L258" s="395"/>
      <c r="M258" s="395"/>
      <c r="N258" s="395"/>
      <c r="O258" s="395"/>
      <c r="P258" s="395"/>
      <c r="Q258" s="395"/>
      <c r="R258" s="395"/>
      <c r="S258" s="395"/>
      <c r="T258" s="395"/>
      <c r="U258" s="396"/>
    </row>
    <row r="259" spans="1:27" ht="15.75" thickBot="1">
      <c r="B259" s="397"/>
      <c r="C259" s="397"/>
      <c r="D259" s="397"/>
      <c r="E259" s="397"/>
      <c r="F259" s="397"/>
      <c r="G259" s="397"/>
      <c r="H259" s="397"/>
      <c r="I259" s="397"/>
      <c r="J259" s="397"/>
      <c r="K259" s="397"/>
      <c r="L259" s="397"/>
      <c r="M259" s="397"/>
      <c r="N259" s="397"/>
      <c r="O259" s="397"/>
      <c r="P259" s="397"/>
      <c r="Q259" s="397"/>
      <c r="R259" s="397"/>
      <c r="S259" s="397"/>
      <c r="T259" s="397"/>
      <c r="U259" s="397"/>
    </row>
    <row r="260" spans="1:27" ht="16.5" thickBot="1">
      <c r="A260" s="4"/>
      <c r="B260" s="306" t="s">
        <v>12</v>
      </c>
      <c r="C260" s="307"/>
      <c r="D260" s="308"/>
      <c r="E260" s="307" t="s">
        <v>13</v>
      </c>
      <c r="F260" s="308"/>
      <c r="G260" s="312" t="s">
        <v>14</v>
      </c>
      <c r="H260" s="313"/>
      <c r="I260" s="313"/>
      <c r="J260" s="313"/>
      <c r="K260" s="313"/>
      <c r="L260" s="313"/>
      <c r="M260" s="313"/>
      <c r="N260" s="313"/>
      <c r="O260" s="313"/>
      <c r="P260" s="313"/>
      <c r="Q260" s="313"/>
      <c r="R260" s="313"/>
      <c r="S260" s="313"/>
      <c r="T260" s="313"/>
      <c r="U260" s="314"/>
    </row>
    <row r="261" spans="1:27" ht="15.75" thickBot="1">
      <c r="A261" s="4"/>
      <c r="B261" s="309"/>
      <c r="C261" s="310"/>
      <c r="D261" s="311"/>
      <c r="E261" s="310"/>
      <c r="F261" s="311"/>
      <c r="G261" s="315" t="s">
        <v>15</v>
      </c>
      <c r="H261" s="316"/>
      <c r="I261" s="267" t="s">
        <v>16</v>
      </c>
      <c r="J261" s="268"/>
      <c r="K261" s="268"/>
      <c r="L261" s="268"/>
      <c r="M261" s="268"/>
      <c r="N261" s="269"/>
      <c r="O261" s="403" t="s">
        <v>17</v>
      </c>
      <c r="P261" s="404"/>
      <c r="Q261" s="404"/>
      <c r="R261" s="404"/>
      <c r="S261" s="404"/>
      <c r="T261" s="404"/>
      <c r="U261" s="405"/>
    </row>
    <row r="262" spans="1:27" ht="15" customHeight="1">
      <c r="A262" s="4"/>
      <c r="B262" s="309"/>
      <c r="C262" s="310"/>
      <c r="D262" s="311"/>
      <c r="E262" s="310"/>
      <c r="F262" s="311"/>
      <c r="G262" s="317"/>
      <c r="H262" s="318"/>
      <c r="I262" s="315" t="s">
        <v>18</v>
      </c>
      <c r="J262" s="406"/>
      <c r="K262" s="406"/>
      <c r="L262" s="315" t="s">
        <v>19</v>
      </c>
      <c r="M262" s="406"/>
      <c r="N262" s="316"/>
      <c r="O262" s="408" t="s">
        <v>18</v>
      </c>
      <c r="P262" s="409"/>
      <c r="Q262" s="409"/>
      <c r="R262" s="315" t="s">
        <v>19</v>
      </c>
      <c r="S262" s="406"/>
      <c r="T262" s="406"/>
      <c r="U262" s="326" t="s">
        <v>20</v>
      </c>
      <c r="V262" s="200" t="s">
        <v>153</v>
      </c>
      <c r="W262" s="201"/>
      <c r="X262" s="200" t="s">
        <v>154</v>
      </c>
      <c r="Y262" s="201"/>
      <c r="Z262" s="200" t="s">
        <v>155</v>
      </c>
      <c r="AA262" s="201"/>
    </row>
    <row r="263" spans="1:27" ht="15.75" customHeight="1" thickBot="1">
      <c r="A263" s="4"/>
      <c r="B263" s="398"/>
      <c r="C263" s="399"/>
      <c r="D263" s="400"/>
      <c r="E263" s="399"/>
      <c r="F263" s="400"/>
      <c r="G263" s="401"/>
      <c r="H263" s="402"/>
      <c r="I263" s="401"/>
      <c r="J263" s="407"/>
      <c r="K263" s="407"/>
      <c r="L263" s="401"/>
      <c r="M263" s="407"/>
      <c r="N263" s="402"/>
      <c r="O263" s="401"/>
      <c r="P263" s="407"/>
      <c r="Q263" s="407"/>
      <c r="R263" s="401"/>
      <c r="S263" s="407"/>
      <c r="T263" s="407"/>
      <c r="U263" s="327"/>
      <c r="V263" s="202"/>
      <c r="W263" s="203"/>
      <c r="X263" s="202"/>
      <c r="Y263" s="203"/>
      <c r="Z263" s="202"/>
      <c r="AA263" s="203"/>
    </row>
    <row r="264" spans="1:27">
      <c r="A264" s="4"/>
      <c r="B264" s="372" t="s">
        <v>59</v>
      </c>
      <c r="C264" s="373"/>
      <c r="D264" s="374"/>
      <c r="E264" s="375"/>
      <c r="F264" s="376"/>
      <c r="G264" s="377"/>
      <c r="H264" s="378"/>
      <c r="I264" s="379"/>
      <c r="J264" s="380"/>
      <c r="K264" s="378"/>
      <c r="L264" s="381"/>
      <c r="M264" s="380"/>
      <c r="N264" s="382"/>
      <c r="O264" s="383"/>
      <c r="P264" s="384"/>
      <c r="Q264" s="384"/>
      <c r="R264" s="384"/>
      <c r="S264" s="384"/>
      <c r="T264" s="384"/>
      <c r="U264" s="53"/>
    </row>
    <row r="265" spans="1:27">
      <c r="A265" s="4"/>
      <c r="B265" s="354" t="s">
        <v>76</v>
      </c>
      <c r="C265" s="362"/>
      <c r="D265" s="363"/>
      <c r="E265" s="364"/>
      <c r="F265" s="365"/>
      <c r="G265" s="366"/>
      <c r="H265" s="367"/>
      <c r="I265" s="371"/>
      <c r="J265" s="370"/>
      <c r="K265" s="370"/>
      <c r="L265" s="370"/>
      <c r="M265" s="370"/>
      <c r="N265" s="365"/>
      <c r="O265" s="371"/>
      <c r="P265" s="370"/>
      <c r="Q265" s="370"/>
      <c r="R265" s="370"/>
      <c r="S265" s="370"/>
      <c r="T265" s="370"/>
      <c r="U265" s="56"/>
    </row>
    <row r="266" spans="1:27">
      <c r="A266" s="4"/>
      <c r="B266" s="328" t="s">
        <v>56</v>
      </c>
      <c r="C266" s="329"/>
      <c r="D266" s="330"/>
      <c r="E266" s="331" t="s">
        <v>58</v>
      </c>
      <c r="F266" s="332"/>
      <c r="G266" s="348">
        <v>170</v>
      </c>
      <c r="H266" s="359"/>
      <c r="I266" s="350">
        <v>0</v>
      </c>
      <c r="J266" s="351"/>
      <c r="K266" s="349"/>
      <c r="L266" s="350">
        <v>0</v>
      </c>
      <c r="M266" s="351"/>
      <c r="N266" s="352"/>
      <c r="O266" s="353">
        <v>170</v>
      </c>
      <c r="P266" s="351"/>
      <c r="Q266" s="349"/>
      <c r="R266" s="350">
        <v>170</v>
      </c>
      <c r="S266" s="351"/>
      <c r="T266" s="349"/>
      <c r="U266" s="6">
        <f t="shared" ref="U266" si="50">R266/G266</f>
        <v>1</v>
      </c>
      <c r="V266" s="193">
        <f>+I266+O144</f>
        <v>170</v>
      </c>
      <c r="W266" s="193">
        <f>+O266-V266</f>
        <v>0</v>
      </c>
      <c r="X266" s="193">
        <f>+L266+R144</f>
        <v>170</v>
      </c>
      <c r="Y266" s="193">
        <f>+R266-X266</f>
        <v>0</v>
      </c>
      <c r="Z266" s="195">
        <f>+X266/G266</f>
        <v>1</v>
      </c>
      <c r="AA266" s="194">
        <f>+U266-Z266</f>
        <v>0</v>
      </c>
    </row>
    <row r="267" spans="1:27">
      <c r="A267" s="4"/>
      <c r="B267" s="328" t="s">
        <v>57</v>
      </c>
      <c r="C267" s="329"/>
      <c r="D267" s="330"/>
      <c r="E267" s="331" t="s">
        <v>58</v>
      </c>
      <c r="F267" s="332"/>
      <c r="G267" s="348">
        <v>4405</v>
      </c>
      <c r="H267" s="349"/>
      <c r="I267" s="350">
        <v>340</v>
      </c>
      <c r="J267" s="351"/>
      <c r="K267" s="349"/>
      <c r="L267" s="350">
        <v>338</v>
      </c>
      <c r="M267" s="351"/>
      <c r="N267" s="352"/>
      <c r="O267" s="353">
        <f>340+340+340</f>
        <v>1020</v>
      </c>
      <c r="P267" s="351"/>
      <c r="Q267" s="349"/>
      <c r="R267" s="350">
        <f>339+339+338</f>
        <v>1016</v>
      </c>
      <c r="S267" s="351"/>
      <c r="T267" s="349"/>
      <c r="U267" s="54">
        <f>R267/G267</f>
        <v>0.23064699205448355</v>
      </c>
      <c r="V267" s="193">
        <f t="shared" ref="V267:V282" si="51">+I267+O145</f>
        <v>1020</v>
      </c>
      <c r="W267" s="193">
        <f t="shared" ref="W267:W282" si="52">+O267-V267</f>
        <v>0</v>
      </c>
      <c r="X267" s="193">
        <f t="shared" ref="X267:X282" si="53">+L267+R145</f>
        <v>1016</v>
      </c>
      <c r="Y267" s="193">
        <f t="shared" ref="Y267:Y282" si="54">+R267-X267</f>
        <v>0</v>
      </c>
      <c r="Z267" s="195">
        <f t="shared" ref="Z267:Z282" si="55">+X267/G267</f>
        <v>0.23064699205448355</v>
      </c>
      <c r="AA267" s="194">
        <f t="shared" ref="AA267:AA282" si="56">+U267-Z267</f>
        <v>0</v>
      </c>
    </row>
    <row r="268" spans="1:27" ht="15" customHeight="1">
      <c r="A268" s="4"/>
      <c r="B268" s="354" t="s">
        <v>77</v>
      </c>
      <c r="C268" s="362"/>
      <c r="D268" s="363"/>
      <c r="E268" s="364"/>
      <c r="F268" s="365"/>
      <c r="G268" s="366"/>
      <c r="H268" s="367"/>
      <c r="I268" s="371"/>
      <c r="J268" s="370"/>
      <c r="K268" s="370"/>
      <c r="L268" s="370"/>
      <c r="M268" s="370"/>
      <c r="N268" s="365"/>
      <c r="O268" s="371"/>
      <c r="P268" s="370"/>
      <c r="Q268" s="370"/>
      <c r="R268" s="370"/>
      <c r="S268" s="370"/>
      <c r="T268" s="370"/>
      <c r="U268" s="56"/>
      <c r="V268" s="193"/>
      <c r="W268" s="193"/>
      <c r="X268" s="193"/>
      <c r="Y268" s="193"/>
      <c r="Z268" s="195"/>
      <c r="AA268" s="194"/>
    </row>
    <row r="269" spans="1:27">
      <c r="A269" s="4"/>
      <c r="B269" s="328" t="s">
        <v>56</v>
      </c>
      <c r="C269" s="329"/>
      <c r="D269" s="330"/>
      <c r="E269" s="331" t="s">
        <v>58</v>
      </c>
      <c r="F269" s="332"/>
      <c r="G269" s="348">
        <v>35</v>
      </c>
      <c r="H269" s="359"/>
      <c r="I269" s="350">
        <v>0</v>
      </c>
      <c r="J269" s="351"/>
      <c r="K269" s="349"/>
      <c r="L269" s="350">
        <v>0</v>
      </c>
      <c r="M269" s="351"/>
      <c r="N269" s="352"/>
      <c r="O269" s="353">
        <v>35</v>
      </c>
      <c r="P269" s="351"/>
      <c r="Q269" s="349"/>
      <c r="R269" s="350">
        <v>35</v>
      </c>
      <c r="S269" s="351"/>
      <c r="T269" s="349"/>
      <c r="U269" s="6">
        <f t="shared" ref="U269" si="57">R269/G269</f>
        <v>1</v>
      </c>
      <c r="V269" s="193">
        <f t="shared" si="51"/>
        <v>35</v>
      </c>
      <c r="W269" s="193">
        <f t="shared" si="52"/>
        <v>0</v>
      </c>
      <c r="X269" s="193">
        <f t="shared" si="53"/>
        <v>35</v>
      </c>
      <c r="Y269" s="193">
        <f t="shared" si="54"/>
        <v>0</v>
      </c>
      <c r="Z269" s="195">
        <f t="shared" si="55"/>
        <v>1</v>
      </c>
      <c r="AA269" s="194">
        <f t="shared" si="56"/>
        <v>0</v>
      </c>
    </row>
    <row r="270" spans="1:27">
      <c r="A270" s="4"/>
      <c r="B270" s="328" t="s">
        <v>57</v>
      </c>
      <c r="C270" s="329"/>
      <c r="D270" s="330"/>
      <c r="E270" s="331" t="s">
        <v>58</v>
      </c>
      <c r="F270" s="332"/>
      <c r="G270" s="348">
        <v>907</v>
      </c>
      <c r="H270" s="349"/>
      <c r="I270" s="350">
        <v>70</v>
      </c>
      <c r="J270" s="351"/>
      <c r="K270" s="349"/>
      <c r="L270" s="350">
        <v>70</v>
      </c>
      <c r="M270" s="351"/>
      <c r="N270" s="352"/>
      <c r="O270" s="353">
        <f>70+70+70</f>
        <v>210</v>
      </c>
      <c r="P270" s="351"/>
      <c r="Q270" s="349"/>
      <c r="R270" s="350">
        <f>70+70+70</f>
        <v>210</v>
      </c>
      <c r="S270" s="351"/>
      <c r="T270" s="349"/>
      <c r="U270" s="54">
        <f>R270/G270</f>
        <v>0.23153252480705622</v>
      </c>
      <c r="V270" s="193">
        <f t="shared" si="51"/>
        <v>210</v>
      </c>
      <c r="W270" s="193">
        <f t="shared" si="52"/>
        <v>0</v>
      </c>
      <c r="X270" s="193">
        <f t="shared" si="53"/>
        <v>210</v>
      </c>
      <c r="Y270" s="193">
        <f t="shared" si="54"/>
        <v>0</v>
      </c>
      <c r="Z270" s="195">
        <f t="shared" si="55"/>
        <v>0.23153252480705622</v>
      </c>
      <c r="AA270" s="194">
        <f t="shared" si="56"/>
        <v>0</v>
      </c>
    </row>
    <row r="271" spans="1:27" ht="15" customHeight="1">
      <c r="A271" s="4"/>
      <c r="B271" s="354" t="s">
        <v>78</v>
      </c>
      <c r="C271" s="362"/>
      <c r="D271" s="363"/>
      <c r="E271" s="364"/>
      <c r="F271" s="365"/>
      <c r="G271" s="366"/>
      <c r="H271" s="367"/>
      <c r="I271" s="371"/>
      <c r="J271" s="370"/>
      <c r="K271" s="370"/>
      <c r="L271" s="370"/>
      <c r="M271" s="370"/>
      <c r="N271" s="365"/>
      <c r="O271" s="371"/>
      <c r="P271" s="370"/>
      <c r="Q271" s="370"/>
      <c r="R271" s="370"/>
      <c r="S271" s="370"/>
      <c r="T271" s="370"/>
      <c r="U271" s="56"/>
      <c r="V271" s="193"/>
      <c r="W271" s="193"/>
      <c r="X271" s="193"/>
      <c r="Y271" s="193"/>
      <c r="Z271" s="195"/>
      <c r="AA271" s="194"/>
    </row>
    <row r="272" spans="1:27">
      <c r="A272" s="4"/>
      <c r="B272" s="328" t="s">
        <v>56</v>
      </c>
      <c r="C272" s="329"/>
      <c r="D272" s="330"/>
      <c r="E272" s="331" t="s">
        <v>58</v>
      </c>
      <c r="F272" s="332"/>
      <c r="G272" s="348">
        <v>35</v>
      </c>
      <c r="H272" s="359"/>
      <c r="I272" s="350">
        <v>0</v>
      </c>
      <c r="J272" s="351"/>
      <c r="K272" s="349"/>
      <c r="L272" s="350">
        <v>0</v>
      </c>
      <c r="M272" s="351"/>
      <c r="N272" s="352"/>
      <c r="O272" s="353">
        <v>35</v>
      </c>
      <c r="P272" s="351"/>
      <c r="Q272" s="349"/>
      <c r="R272" s="350">
        <v>35</v>
      </c>
      <c r="S272" s="351"/>
      <c r="T272" s="349"/>
      <c r="U272" s="6">
        <f t="shared" ref="U272" si="58">R272/G272</f>
        <v>1</v>
      </c>
      <c r="V272" s="193">
        <f t="shared" si="51"/>
        <v>35</v>
      </c>
      <c r="W272" s="193">
        <f t="shared" si="52"/>
        <v>0</v>
      </c>
      <c r="X272" s="193">
        <f t="shared" si="53"/>
        <v>35</v>
      </c>
      <c r="Y272" s="193">
        <f t="shared" si="54"/>
        <v>0</v>
      </c>
      <c r="Z272" s="195">
        <f t="shared" si="55"/>
        <v>1</v>
      </c>
      <c r="AA272" s="194">
        <f t="shared" si="56"/>
        <v>0</v>
      </c>
    </row>
    <row r="273" spans="1:27">
      <c r="A273" s="4"/>
      <c r="B273" s="328" t="s">
        <v>57</v>
      </c>
      <c r="C273" s="329"/>
      <c r="D273" s="330"/>
      <c r="E273" s="331" t="s">
        <v>58</v>
      </c>
      <c r="F273" s="332"/>
      <c r="G273" s="348">
        <v>907</v>
      </c>
      <c r="H273" s="349"/>
      <c r="I273" s="350">
        <v>70</v>
      </c>
      <c r="J273" s="351"/>
      <c r="K273" s="349"/>
      <c r="L273" s="350">
        <v>70</v>
      </c>
      <c r="M273" s="351"/>
      <c r="N273" s="352"/>
      <c r="O273" s="353">
        <f>70+70+70</f>
        <v>210</v>
      </c>
      <c r="P273" s="351"/>
      <c r="Q273" s="349"/>
      <c r="R273" s="350">
        <f>70+70+70</f>
        <v>210</v>
      </c>
      <c r="S273" s="351"/>
      <c r="T273" s="349"/>
      <c r="U273" s="54">
        <f>R273/G273</f>
        <v>0.23153252480705622</v>
      </c>
      <c r="V273" s="193">
        <f t="shared" si="51"/>
        <v>210</v>
      </c>
      <c r="W273" s="193">
        <f t="shared" si="52"/>
        <v>0</v>
      </c>
      <c r="X273" s="193">
        <f t="shared" si="53"/>
        <v>210</v>
      </c>
      <c r="Y273" s="193">
        <f t="shared" si="54"/>
        <v>0</v>
      </c>
      <c r="Z273" s="195">
        <f t="shared" si="55"/>
        <v>0.23153252480705622</v>
      </c>
      <c r="AA273" s="194">
        <f t="shared" si="56"/>
        <v>0</v>
      </c>
    </row>
    <row r="274" spans="1:27" ht="15" customHeight="1">
      <c r="A274" s="4"/>
      <c r="B274" s="354" t="s">
        <v>79</v>
      </c>
      <c r="C274" s="362"/>
      <c r="D274" s="363"/>
      <c r="E274" s="364"/>
      <c r="F274" s="365"/>
      <c r="G274" s="366"/>
      <c r="H274" s="367"/>
      <c r="I274" s="371"/>
      <c r="J274" s="370"/>
      <c r="K274" s="370"/>
      <c r="L274" s="370"/>
      <c r="M274" s="370"/>
      <c r="N274" s="365"/>
      <c r="O274" s="371"/>
      <c r="P274" s="370"/>
      <c r="Q274" s="370"/>
      <c r="R274" s="370"/>
      <c r="S274" s="370"/>
      <c r="T274" s="370"/>
      <c r="U274" s="56"/>
      <c r="V274" s="193"/>
      <c r="W274" s="193"/>
      <c r="X274" s="193"/>
      <c r="Y274" s="193"/>
      <c r="Z274" s="195"/>
      <c r="AA274" s="194"/>
    </row>
    <row r="275" spans="1:27">
      <c r="A275" s="4"/>
      <c r="B275" s="328" t="s">
        <v>56</v>
      </c>
      <c r="C275" s="329"/>
      <c r="D275" s="330"/>
      <c r="E275" s="331" t="s">
        <v>58</v>
      </c>
      <c r="F275" s="332"/>
      <c r="G275" s="348">
        <v>96</v>
      </c>
      <c r="H275" s="359"/>
      <c r="I275" s="350">
        <v>0</v>
      </c>
      <c r="J275" s="351"/>
      <c r="K275" s="349"/>
      <c r="L275" s="350">
        <v>0</v>
      </c>
      <c r="M275" s="351"/>
      <c r="N275" s="352"/>
      <c r="O275" s="353">
        <v>0</v>
      </c>
      <c r="P275" s="351"/>
      <c r="Q275" s="349"/>
      <c r="R275" s="350">
        <v>0</v>
      </c>
      <c r="S275" s="351"/>
      <c r="T275" s="349"/>
      <c r="U275" s="54">
        <f t="shared" ref="U275" si="59">R275/G275</f>
        <v>0</v>
      </c>
      <c r="V275" s="193">
        <f t="shared" si="51"/>
        <v>0</v>
      </c>
      <c r="W275" s="193">
        <f t="shared" si="52"/>
        <v>0</v>
      </c>
      <c r="X275" s="193">
        <f t="shared" si="53"/>
        <v>0</v>
      </c>
      <c r="Y275" s="193">
        <f t="shared" si="54"/>
        <v>0</v>
      </c>
      <c r="Z275" s="195">
        <f t="shared" si="55"/>
        <v>0</v>
      </c>
      <c r="AA275" s="194">
        <f t="shared" si="56"/>
        <v>0</v>
      </c>
    </row>
    <row r="276" spans="1:27">
      <c r="A276" s="4"/>
      <c r="B276" s="328" t="s">
        <v>57</v>
      </c>
      <c r="C276" s="329"/>
      <c r="D276" s="330"/>
      <c r="E276" s="331" t="s">
        <v>58</v>
      </c>
      <c r="F276" s="332"/>
      <c r="G276" s="348">
        <v>1440</v>
      </c>
      <c r="H276" s="349"/>
      <c r="I276" s="350">
        <v>0</v>
      </c>
      <c r="J276" s="351"/>
      <c r="K276" s="349"/>
      <c r="L276" s="350">
        <v>0</v>
      </c>
      <c r="M276" s="351"/>
      <c r="N276" s="352"/>
      <c r="O276" s="353">
        <v>0</v>
      </c>
      <c r="P276" s="351"/>
      <c r="Q276" s="349"/>
      <c r="R276" s="350">
        <v>0</v>
      </c>
      <c r="S276" s="351"/>
      <c r="T276" s="349"/>
      <c r="U276" s="54">
        <f>R276/G276</f>
        <v>0</v>
      </c>
      <c r="V276" s="193">
        <f t="shared" si="51"/>
        <v>0</v>
      </c>
      <c r="W276" s="193">
        <f t="shared" si="52"/>
        <v>0</v>
      </c>
      <c r="X276" s="193">
        <f t="shared" si="53"/>
        <v>0</v>
      </c>
      <c r="Y276" s="193">
        <f t="shared" si="54"/>
        <v>0</v>
      </c>
      <c r="Z276" s="195">
        <f t="shared" si="55"/>
        <v>0</v>
      </c>
      <c r="AA276" s="194">
        <f t="shared" si="56"/>
        <v>0</v>
      </c>
    </row>
    <row r="277" spans="1:27">
      <c r="A277" s="4"/>
      <c r="B277" s="354" t="s">
        <v>63</v>
      </c>
      <c r="C277" s="355"/>
      <c r="D277" s="356"/>
      <c r="E277" s="357"/>
      <c r="F277" s="358"/>
      <c r="G277" s="348"/>
      <c r="H277" s="349"/>
      <c r="I277" s="350"/>
      <c r="J277" s="351"/>
      <c r="K277" s="349"/>
      <c r="L277" s="353"/>
      <c r="M277" s="351"/>
      <c r="N277" s="352"/>
      <c r="O277" s="353"/>
      <c r="P277" s="351"/>
      <c r="Q277" s="351"/>
      <c r="R277" s="351"/>
      <c r="S277" s="351"/>
      <c r="T277" s="351"/>
      <c r="U277" s="6"/>
      <c r="V277" s="193"/>
      <c r="W277" s="193"/>
      <c r="X277" s="193"/>
      <c r="Y277" s="193"/>
      <c r="Z277" s="195"/>
      <c r="AA277" s="194"/>
    </row>
    <row r="278" spans="1:27">
      <c r="A278" s="4"/>
      <c r="B278" s="328" t="s">
        <v>60</v>
      </c>
      <c r="C278" s="329"/>
      <c r="D278" s="330"/>
      <c r="E278" s="331" t="s">
        <v>58</v>
      </c>
      <c r="F278" s="332"/>
      <c r="G278" s="348">
        <v>12</v>
      </c>
      <c r="H278" s="359"/>
      <c r="I278" s="350">
        <v>0</v>
      </c>
      <c r="J278" s="351"/>
      <c r="K278" s="349"/>
      <c r="L278" s="350">
        <v>0</v>
      </c>
      <c r="M278" s="351"/>
      <c r="N278" s="352"/>
      <c r="O278" s="353">
        <v>0</v>
      </c>
      <c r="P278" s="351"/>
      <c r="Q278" s="349"/>
      <c r="R278" s="350">
        <v>0</v>
      </c>
      <c r="S278" s="351"/>
      <c r="T278" s="349"/>
      <c r="U278" s="54">
        <f>R278/G278</f>
        <v>0</v>
      </c>
      <c r="V278" s="193">
        <f t="shared" si="51"/>
        <v>0</v>
      </c>
      <c r="W278" s="193">
        <f t="shared" si="52"/>
        <v>0</v>
      </c>
      <c r="X278" s="193">
        <f t="shared" si="53"/>
        <v>0</v>
      </c>
      <c r="Y278" s="193">
        <f t="shared" si="54"/>
        <v>0</v>
      </c>
      <c r="Z278" s="195">
        <f t="shared" si="55"/>
        <v>0</v>
      </c>
      <c r="AA278" s="194">
        <f t="shared" si="56"/>
        <v>0</v>
      </c>
    </row>
    <row r="279" spans="1:27">
      <c r="A279" s="4"/>
      <c r="B279" s="354" t="s">
        <v>61</v>
      </c>
      <c r="C279" s="355"/>
      <c r="D279" s="356"/>
      <c r="E279" s="357"/>
      <c r="F279" s="358"/>
      <c r="G279" s="348"/>
      <c r="H279" s="349"/>
      <c r="I279" s="350"/>
      <c r="J279" s="351"/>
      <c r="K279" s="349"/>
      <c r="L279" s="353"/>
      <c r="M279" s="351"/>
      <c r="N279" s="352"/>
      <c r="O279" s="353"/>
      <c r="P279" s="351"/>
      <c r="Q279" s="351"/>
      <c r="R279" s="351"/>
      <c r="S279" s="351"/>
      <c r="T279" s="351"/>
      <c r="U279" s="6"/>
      <c r="V279" s="193"/>
      <c r="W279" s="193"/>
      <c r="X279" s="193"/>
      <c r="Y279" s="193"/>
      <c r="Z279" s="195"/>
      <c r="AA279" s="194"/>
    </row>
    <row r="280" spans="1:27" ht="15" customHeight="1">
      <c r="A280" s="4"/>
      <c r="B280" s="328" t="s">
        <v>61</v>
      </c>
      <c r="C280" s="329"/>
      <c r="D280" s="330"/>
      <c r="E280" s="331" t="s">
        <v>58</v>
      </c>
      <c r="F280" s="332"/>
      <c r="G280" s="348">
        <v>15</v>
      </c>
      <c r="H280" s="349"/>
      <c r="I280" s="350">
        <v>0</v>
      </c>
      <c r="J280" s="351"/>
      <c r="K280" s="349"/>
      <c r="L280" s="350">
        <v>0</v>
      </c>
      <c r="M280" s="351"/>
      <c r="N280" s="352"/>
      <c r="O280" s="353">
        <v>0</v>
      </c>
      <c r="P280" s="351"/>
      <c r="Q280" s="349"/>
      <c r="R280" s="350">
        <v>0</v>
      </c>
      <c r="S280" s="351"/>
      <c r="T280" s="349"/>
      <c r="U280" s="54">
        <f>R280/G280</f>
        <v>0</v>
      </c>
      <c r="V280" s="193">
        <f t="shared" si="51"/>
        <v>0</v>
      </c>
      <c r="W280" s="193">
        <f t="shared" si="52"/>
        <v>0</v>
      </c>
      <c r="X280" s="193">
        <f t="shared" si="53"/>
        <v>0</v>
      </c>
      <c r="Y280" s="193">
        <f t="shared" si="54"/>
        <v>0</v>
      </c>
      <c r="Z280" s="195">
        <f t="shared" si="55"/>
        <v>0</v>
      </c>
      <c r="AA280" s="194">
        <f t="shared" si="56"/>
        <v>0</v>
      </c>
    </row>
    <row r="281" spans="1:27" ht="15" customHeight="1">
      <c r="A281" s="4"/>
      <c r="B281" s="354" t="s">
        <v>62</v>
      </c>
      <c r="C281" s="355"/>
      <c r="D281" s="356"/>
      <c r="E281" s="357"/>
      <c r="F281" s="358"/>
      <c r="G281" s="348"/>
      <c r="H281" s="349"/>
      <c r="I281" s="350"/>
      <c r="J281" s="351"/>
      <c r="K281" s="349"/>
      <c r="L281" s="353"/>
      <c r="M281" s="351"/>
      <c r="N281" s="352"/>
      <c r="O281" s="353"/>
      <c r="P281" s="351"/>
      <c r="Q281" s="351"/>
      <c r="R281" s="351"/>
      <c r="S281" s="351"/>
      <c r="T281" s="351"/>
      <c r="U281" s="6"/>
      <c r="V281" s="193"/>
      <c r="W281" s="193"/>
      <c r="X281" s="193"/>
      <c r="Y281" s="193"/>
      <c r="Z281" s="195"/>
      <c r="AA281" s="194"/>
    </row>
    <row r="282" spans="1:27" ht="15" customHeight="1" thickBot="1">
      <c r="A282" s="4"/>
      <c r="B282" s="328" t="s">
        <v>62</v>
      </c>
      <c r="C282" s="329"/>
      <c r="D282" s="330"/>
      <c r="E282" s="331" t="s">
        <v>58</v>
      </c>
      <c r="F282" s="332"/>
      <c r="G282" s="333">
        <v>1</v>
      </c>
      <c r="H282" s="334"/>
      <c r="I282" s="335">
        <v>0</v>
      </c>
      <c r="J282" s="336"/>
      <c r="K282" s="334"/>
      <c r="L282" s="458">
        <v>0</v>
      </c>
      <c r="M282" s="336"/>
      <c r="N282" s="459"/>
      <c r="O282" s="353">
        <v>0</v>
      </c>
      <c r="P282" s="351"/>
      <c r="Q282" s="351"/>
      <c r="R282" s="351">
        <v>0</v>
      </c>
      <c r="S282" s="351"/>
      <c r="T282" s="351"/>
      <c r="U282" s="54">
        <f>R282/G282</f>
        <v>0</v>
      </c>
      <c r="V282" s="193">
        <f t="shared" si="51"/>
        <v>0</v>
      </c>
      <c r="W282" s="193">
        <f t="shared" si="52"/>
        <v>0</v>
      </c>
      <c r="X282" s="193">
        <f t="shared" si="53"/>
        <v>0</v>
      </c>
      <c r="Y282" s="193">
        <f t="shared" si="54"/>
        <v>0</v>
      </c>
      <c r="Z282" s="195">
        <f t="shared" si="55"/>
        <v>0</v>
      </c>
      <c r="AA282" s="194">
        <f t="shared" si="56"/>
        <v>0</v>
      </c>
    </row>
    <row r="283" spans="1:27" ht="15.75" thickBot="1">
      <c r="A283" s="4"/>
      <c r="B283" s="342" t="s">
        <v>21</v>
      </c>
      <c r="C283" s="343"/>
      <c r="D283" s="343"/>
      <c r="E283" s="343"/>
      <c r="F283" s="344"/>
      <c r="G283" s="345"/>
      <c r="H283" s="346"/>
      <c r="I283" s="346"/>
      <c r="J283" s="346"/>
      <c r="K283" s="346"/>
      <c r="L283" s="346"/>
      <c r="M283" s="346"/>
      <c r="N283" s="347"/>
      <c r="O283" s="345"/>
      <c r="P283" s="346"/>
      <c r="Q283" s="346"/>
      <c r="R283" s="346"/>
      <c r="S283" s="346"/>
      <c r="T283" s="346"/>
      <c r="U283" s="347"/>
      <c r="V283" s="128"/>
      <c r="W283" s="128"/>
      <c r="X283" s="128"/>
      <c r="Y283" s="128"/>
      <c r="Z283" s="195"/>
      <c r="AA283" s="194"/>
    </row>
    <row r="284" spans="1:27" ht="15.75" thickBot="1">
      <c r="B284" s="7"/>
      <c r="C284" s="8"/>
      <c r="D284" s="9"/>
      <c r="E284" s="10"/>
      <c r="F284" s="11"/>
      <c r="G284" s="12"/>
      <c r="H284" s="13"/>
      <c r="I284" s="14"/>
      <c r="J284" s="14"/>
      <c r="K284" s="15"/>
      <c r="L284" s="14"/>
      <c r="M284" s="15"/>
      <c r="N284" s="14"/>
      <c r="O284" s="14"/>
      <c r="P284" s="14"/>
      <c r="Q284" s="14"/>
      <c r="R284" s="15"/>
      <c r="S284" s="14"/>
      <c r="T284" s="12"/>
      <c r="U284" s="14"/>
      <c r="V284" s="128"/>
      <c r="W284" s="128"/>
      <c r="X284" s="128"/>
      <c r="Y284" s="128"/>
      <c r="Z284" s="195"/>
      <c r="AA284" s="194"/>
    </row>
    <row r="285" spans="1:27" ht="16.5" customHeight="1" thickBot="1">
      <c r="A285" s="4"/>
      <c r="B285" s="306" t="s">
        <v>22</v>
      </c>
      <c r="C285" s="307"/>
      <c r="D285" s="307"/>
      <c r="E285" s="307"/>
      <c r="F285" s="308"/>
      <c r="G285" s="312" t="s">
        <v>129</v>
      </c>
      <c r="H285" s="313"/>
      <c r="I285" s="313"/>
      <c r="J285" s="313"/>
      <c r="K285" s="313"/>
      <c r="L285" s="313"/>
      <c r="M285" s="313"/>
      <c r="N285" s="313"/>
      <c r="O285" s="313"/>
      <c r="P285" s="313"/>
      <c r="Q285" s="313"/>
      <c r="R285" s="313"/>
      <c r="S285" s="313"/>
      <c r="T285" s="313"/>
      <c r="U285" s="314"/>
      <c r="V285" s="128"/>
      <c r="W285" s="128"/>
      <c r="X285" s="128"/>
      <c r="Y285" s="128"/>
      <c r="Z285" s="195"/>
      <c r="AA285" s="194"/>
    </row>
    <row r="286" spans="1:27" ht="15.75" thickBot="1">
      <c r="A286" s="4"/>
      <c r="B286" s="309"/>
      <c r="C286" s="310"/>
      <c r="D286" s="310"/>
      <c r="E286" s="310"/>
      <c r="F286" s="311"/>
      <c r="G286" s="315" t="s">
        <v>24</v>
      </c>
      <c r="H286" s="316"/>
      <c r="I286" s="310" t="s">
        <v>16</v>
      </c>
      <c r="J286" s="310"/>
      <c r="K286" s="310"/>
      <c r="L286" s="310"/>
      <c r="M286" s="310"/>
      <c r="N286" s="311"/>
      <c r="O286" s="321" t="s">
        <v>17</v>
      </c>
      <c r="P286" s="322"/>
      <c r="Q286" s="322"/>
      <c r="R286" s="322"/>
      <c r="S286" s="322"/>
      <c r="T286" s="322"/>
      <c r="U286" s="323"/>
    </row>
    <row r="287" spans="1:27" ht="15.75" customHeight="1" thickBot="1">
      <c r="A287" s="4"/>
      <c r="B287" s="309"/>
      <c r="C287" s="310"/>
      <c r="D287" s="310"/>
      <c r="E287" s="310"/>
      <c r="F287" s="311"/>
      <c r="G287" s="317"/>
      <c r="H287" s="318"/>
      <c r="I287" s="267" t="s">
        <v>18</v>
      </c>
      <c r="J287" s="268"/>
      <c r="K287" s="269"/>
      <c r="L287" s="267" t="s">
        <v>25</v>
      </c>
      <c r="M287" s="268"/>
      <c r="N287" s="269"/>
      <c r="O287" s="267" t="s">
        <v>18</v>
      </c>
      <c r="P287" s="268"/>
      <c r="Q287" s="324"/>
      <c r="R287" s="325" t="s">
        <v>25</v>
      </c>
      <c r="S287" s="268"/>
      <c r="T287" s="269"/>
      <c r="U287" s="326" t="s">
        <v>20</v>
      </c>
      <c r="V287" s="200" t="s">
        <v>153</v>
      </c>
      <c r="W287" s="201"/>
      <c r="X287" s="200" t="s">
        <v>154</v>
      </c>
      <c r="Y287" s="201"/>
      <c r="Z287" s="200" t="s">
        <v>155</v>
      </c>
      <c r="AA287" s="201"/>
    </row>
    <row r="288" spans="1:27" ht="25.5" customHeight="1" thickBot="1">
      <c r="A288" s="4"/>
      <c r="B288" s="309"/>
      <c r="C288" s="310"/>
      <c r="D288" s="310"/>
      <c r="E288" s="310"/>
      <c r="F288" s="311"/>
      <c r="G288" s="319"/>
      <c r="H288" s="320"/>
      <c r="I288" s="60" t="s">
        <v>26</v>
      </c>
      <c r="J288" s="58" t="s">
        <v>27</v>
      </c>
      <c r="K288" s="58" t="s">
        <v>28</v>
      </c>
      <c r="L288" s="60" t="s">
        <v>26</v>
      </c>
      <c r="M288" s="58" t="s">
        <v>27</v>
      </c>
      <c r="N288" s="61" t="s">
        <v>28</v>
      </c>
      <c r="O288" s="19" t="s">
        <v>26</v>
      </c>
      <c r="P288" s="60" t="s">
        <v>27</v>
      </c>
      <c r="Q288" s="20" t="s">
        <v>28</v>
      </c>
      <c r="R288" s="21" t="s">
        <v>26</v>
      </c>
      <c r="S288" s="59" t="s">
        <v>27</v>
      </c>
      <c r="T288" s="58" t="s">
        <v>28</v>
      </c>
      <c r="U288" s="327"/>
      <c r="V288" s="202"/>
      <c r="W288" s="203"/>
      <c r="X288" s="202"/>
      <c r="Y288" s="203"/>
      <c r="Z288" s="202"/>
      <c r="AA288" s="203"/>
    </row>
    <row r="289" spans="1:27" ht="15.75" thickBot="1">
      <c r="A289" s="4"/>
      <c r="B289" s="302" t="s">
        <v>29</v>
      </c>
      <c r="C289" s="303"/>
      <c r="D289" s="303"/>
      <c r="E289" s="303"/>
      <c r="F289" s="303"/>
      <c r="G289" s="303"/>
      <c r="H289" s="303"/>
      <c r="I289" s="303"/>
      <c r="J289" s="303"/>
      <c r="K289" s="303"/>
      <c r="L289" s="303"/>
      <c r="M289" s="303"/>
      <c r="N289" s="303"/>
      <c r="O289" s="303"/>
      <c r="P289" s="303"/>
      <c r="Q289" s="303"/>
      <c r="R289" s="303"/>
      <c r="S289" s="303"/>
      <c r="T289" s="303"/>
      <c r="U289" s="304"/>
    </row>
    <row r="290" spans="1:27" ht="15.75" customHeight="1">
      <c r="A290" s="23"/>
      <c r="B290" s="473" t="s">
        <v>82</v>
      </c>
      <c r="C290" s="474"/>
      <c r="D290" s="474"/>
      <c r="E290" s="474"/>
      <c r="F290" s="475"/>
      <c r="G290" s="290">
        <v>1908</v>
      </c>
      <c r="H290" s="305"/>
      <c r="I290" s="66">
        <v>0</v>
      </c>
      <c r="J290" s="67">
        <v>0</v>
      </c>
      <c r="K290" s="67">
        <v>0</v>
      </c>
      <c r="L290" s="67">
        <v>0</v>
      </c>
      <c r="M290" s="67">
        <v>0</v>
      </c>
      <c r="N290" s="67">
        <v>0</v>
      </c>
      <c r="O290" s="67">
        <v>0</v>
      </c>
      <c r="P290" s="67">
        <v>0</v>
      </c>
      <c r="Q290" s="68">
        <v>0</v>
      </c>
      <c r="R290" s="67">
        <v>0</v>
      </c>
      <c r="S290" s="67">
        <v>0</v>
      </c>
      <c r="T290" s="68">
        <v>0</v>
      </c>
      <c r="U290" s="69">
        <f>R290/G290</f>
        <v>0</v>
      </c>
      <c r="V290" s="128">
        <f>+I290+O168</f>
        <v>0</v>
      </c>
      <c r="W290" s="128">
        <f>+O290-V290</f>
        <v>0</v>
      </c>
      <c r="X290" s="128">
        <f>+L290+R168</f>
        <v>0</v>
      </c>
      <c r="Y290" s="128">
        <f>+R290-X290</f>
        <v>0</v>
      </c>
      <c r="Z290" s="195">
        <f>+X290/G290</f>
        <v>0</v>
      </c>
      <c r="AA290" s="194">
        <f>+U290-Z290</f>
        <v>0</v>
      </c>
    </row>
    <row r="291" spans="1:27">
      <c r="A291" s="23"/>
      <c r="B291" s="465" t="s">
        <v>83</v>
      </c>
      <c r="C291" s="466"/>
      <c r="D291" s="466"/>
      <c r="E291" s="466"/>
      <c r="F291" s="467"/>
      <c r="G291" s="277">
        <v>9000</v>
      </c>
      <c r="H291" s="292"/>
      <c r="I291" s="64">
        <v>0</v>
      </c>
      <c r="J291" s="70">
        <v>0</v>
      </c>
      <c r="K291" s="70">
        <v>0</v>
      </c>
      <c r="L291" s="70">
        <v>0</v>
      </c>
      <c r="M291" s="70">
        <v>0</v>
      </c>
      <c r="N291" s="70">
        <v>0</v>
      </c>
      <c r="O291" s="70">
        <v>0</v>
      </c>
      <c r="P291" s="70">
        <v>0</v>
      </c>
      <c r="Q291" s="70">
        <v>0</v>
      </c>
      <c r="R291" s="70">
        <v>0</v>
      </c>
      <c r="S291" s="70">
        <v>0</v>
      </c>
      <c r="T291" s="70">
        <v>0</v>
      </c>
      <c r="U291" s="71">
        <f>R291/G291</f>
        <v>0</v>
      </c>
      <c r="V291" s="128">
        <f t="shared" ref="V291:V310" si="60">+I291+O169</f>
        <v>0</v>
      </c>
      <c r="W291" s="128">
        <f t="shared" ref="W291:W310" si="61">+O291-V291</f>
        <v>0</v>
      </c>
      <c r="X291" s="128">
        <f t="shared" ref="X291:X310" si="62">+L291+R169</f>
        <v>0</v>
      </c>
      <c r="Y291" s="128">
        <f t="shared" ref="Y291:Y310" si="63">+R291-X291</f>
        <v>0</v>
      </c>
      <c r="Z291" s="195">
        <f t="shared" ref="Z291:Z310" si="64">+X291/G291</f>
        <v>0</v>
      </c>
      <c r="AA291" s="194">
        <f t="shared" ref="AA291:AA310" si="65">+U291-Z291</f>
        <v>0</v>
      </c>
    </row>
    <row r="292" spans="1:27" s="40" customFormat="1">
      <c r="A292" s="152"/>
      <c r="B292" s="274" t="s">
        <v>84</v>
      </c>
      <c r="C292" s="275"/>
      <c r="D292" s="275"/>
      <c r="E292" s="275"/>
      <c r="F292" s="276"/>
      <c r="G292" s="277">
        <v>15000</v>
      </c>
      <c r="H292" s="292"/>
      <c r="I292" s="142">
        <v>0</v>
      </c>
      <c r="J292" s="117">
        <v>0</v>
      </c>
      <c r="K292" s="117">
        <v>0</v>
      </c>
      <c r="L292" s="117">
        <v>0</v>
      </c>
      <c r="M292" s="117">
        <v>0</v>
      </c>
      <c r="N292" s="117">
        <v>0</v>
      </c>
      <c r="O292" s="117">
        <v>0</v>
      </c>
      <c r="P292" s="117">
        <v>0</v>
      </c>
      <c r="Q292" s="117">
        <v>0</v>
      </c>
      <c r="R292" s="117">
        <v>0</v>
      </c>
      <c r="S292" s="117">
        <v>0</v>
      </c>
      <c r="T292" s="117">
        <v>0</v>
      </c>
      <c r="U292" s="153">
        <f>R292/G292</f>
        <v>0</v>
      </c>
      <c r="V292" s="128">
        <f t="shared" si="60"/>
        <v>0</v>
      </c>
      <c r="W292" s="128">
        <f t="shared" si="61"/>
        <v>0</v>
      </c>
      <c r="X292" s="128">
        <f t="shared" si="62"/>
        <v>0</v>
      </c>
      <c r="Y292" s="128">
        <f t="shared" si="63"/>
        <v>0</v>
      </c>
      <c r="Z292" s="195">
        <f t="shared" si="64"/>
        <v>0</v>
      </c>
      <c r="AA292" s="194">
        <f t="shared" si="65"/>
        <v>0</v>
      </c>
    </row>
    <row r="293" spans="1:27" s="40" customFormat="1">
      <c r="A293" s="152"/>
      <c r="B293" s="274" t="s">
        <v>85</v>
      </c>
      <c r="C293" s="275"/>
      <c r="D293" s="275"/>
      <c r="E293" s="275"/>
      <c r="F293" s="276"/>
      <c r="G293" s="277">
        <v>2000</v>
      </c>
      <c r="H293" s="292"/>
      <c r="I293" s="142">
        <v>0</v>
      </c>
      <c r="J293" s="117">
        <v>0</v>
      </c>
      <c r="K293" s="117">
        <v>0</v>
      </c>
      <c r="L293" s="117">
        <v>0</v>
      </c>
      <c r="M293" s="117">
        <v>0</v>
      </c>
      <c r="N293" s="117">
        <v>0</v>
      </c>
      <c r="O293" s="117">
        <v>0</v>
      </c>
      <c r="P293" s="117">
        <v>0</v>
      </c>
      <c r="Q293" s="117">
        <v>0</v>
      </c>
      <c r="R293" s="117">
        <v>0</v>
      </c>
      <c r="S293" s="117">
        <v>0</v>
      </c>
      <c r="T293" s="117">
        <v>0</v>
      </c>
      <c r="U293" s="153">
        <f t="shared" ref="U293" si="66">R293/G293</f>
        <v>0</v>
      </c>
      <c r="V293" s="128">
        <f t="shared" si="60"/>
        <v>0</v>
      </c>
      <c r="W293" s="128">
        <f t="shared" si="61"/>
        <v>0</v>
      </c>
      <c r="X293" s="128">
        <f t="shared" si="62"/>
        <v>0</v>
      </c>
      <c r="Y293" s="128">
        <f t="shared" si="63"/>
        <v>0</v>
      </c>
      <c r="Z293" s="195">
        <f t="shared" si="64"/>
        <v>0</v>
      </c>
      <c r="AA293" s="194">
        <f t="shared" si="65"/>
        <v>0</v>
      </c>
    </row>
    <row r="294" spans="1:27" s="40" customFormat="1">
      <c r="A294" s="152"/>
      <c r="B294" s="274" t="s">
        <v>119</v>
      </c>
      <c r="C294" s="275"/>
      <c r="D294" s="275"/>
      <c r="E294" s="275"/>
      <c r="F294" s="276"/>
      <c r="G294" s="277">
        <v>198000</v>
      </c>
      <c r="H294" s="292"/>
      <c r="I294" s="142">
        <v>16500</v>
      </c>
      <c r="J294" s="117">
        <v>0</v>
      </c>
      <c r="K294" s="117">
        <v>0</v>
      </c>
      <c r="L294" s="117">
        <v>0</v>
      </c>
      <c r="M294" s="117">
        <v>0</v>
      </c>
      <c r="N294" s="117">
        <v>0</v>
      </c>
      <c r="O294" s="117">
        <f>16500+16500+16500</f>
        <v>49500</v>
      </c>
      <c r="P294" s="117">
        <v>0</v>
      </c>
      <c r="Q294" s="117">
        <v>0</v>
      </c>
      <c r="R294" s="117">
        <v>0</v>
      </c>
      <c r="S294" s="117">
        <v>0</v>
      </c>
      <c r="T294" s="117">
        <v>0</v>
      </c>
      <c r="U294" s="153">
        <f>R294/G294</f>
        <v>0</v>
      </c>
      <c r="V294" s="128">
        <f t="shared" si="60"/>
        <v>49500</v>
      </c>
      <c r="W294" s="128">
        <f t="shared" si="61"/>
        <v>0</v>
      </c>
      <c r="X294" s="128">
        <f t="shared" si="62"/>
        <v>0</v>
      </c>
      <c r="Y294" s="128">
        <f t="shared" si="63"/>
        <v>0</v>
      </c>
      <c r="Z294" s="195">
        <f t="shared" si="64"/>
        <v>0</v>
      </c>
      <c r="AA294" s="194">
        <f t="shared" si="65"/>
        <v>0</v>
      </c>
    </row>
    <row r="295" spans="1:27" s="40" customFormat="1" ht="15" customHeight="1">
      <c r="A295" s="152"/>
      <c r="B295" s="274" t="s">
        <v>130</v>
      </c>
      <c r="C295" s="275"/>
      <c r="D295" s="275"/>
      <c r="E295" s="275"/>
      <c r="F295" s="276"/>
      <c r="G295" s="277">
        <v>13000</v>
      </c>
      <c r="H295" s="292"/>
      <c r="I295" s="142">
        <v>0</v>
      </c>
      <c r="J295" s="117">
        <v>0</v>
      </c>
      <c r="K295" s="117">
        <v>0</v>
      </c>
      <c r="L295" s="117">
        <v>0</v>
      </c>
      <c r="M295" s="117">
        <v>0</v>
      </c>
      <c r="N295" s="117">
        <v>0</v>
      </c>
      <c r="O295" s="117">
        <v>0</v>
      </c>
      <c r="P295" s="117">
        <v>0</v>
      </c>
      <c r="Q295" s="117">
        <v>0</v>
      </c>
      <c r="R295" s="117">
        <v>0</v>
      </c>
      <c r="S295" s="117">
        <v>0</v>
      </c>
      <c r="T295" s="117">
        <v>0</v>
      </c>
      <c r="U295" s="153">
        <f>R295/G295</f>
        <v>0</v>
      </c>
      <c r="V295" s="128">
        <f t="shared" si="60"/>
        <v>0</v>
      </c>
      <c r="W295" s="128">
        <f t="shared" si="61"/>
        <v>0</v>
      </c>
      <c r="X295" s="128">
        <f t="shared" si="62"/>
        <v>0</v>
      </c>
      <c r="Y295" s="128">
        <f t="shared" si="63"/>
        <v>0</v>
      </c>
      <c r="Z295" s="195">
        <f t="shared" si="64"/>
        <v>0</v>
      </c>
      <c r="AA295" s="194">
        <f t="shared" si="65"/>
        <v>0</v>
      </c>
    </row>
    <row r="296" spans="1:27">
      <c r="A296" s="23"/>
      <c r="B296" s="465" t="s">
        <v>86</v>
      </c>
      <c r="C296" s="466"/>
      <c r="D296" s="466"/>
      <c r="E296" s="466"/>
      <c r="F296" s="467"/>
      <c r="G296" s="277">
        <v>30000</v>
      </c>
      <c r="H296" s="292"/>
      <c r="I296" s="64">
        <v>0</v>
      </c>
      <c r="J296" s="70">
        <v>0</v>
      </c>
      <c r="K296" s="70">
        <v>0</v>
      </c>
      <c r="L296" s="70">
        <v>0</v>
      </c>
      <c r="M296" s="70">
        <v>0</v>
      </c>
      <c r="N296" s="70">
        <v>0</v>
      </c>
      <c r="O296" s="70">
        <v>0</v>
      </c>
      <c r="P296" s="70">
        <v>0</v>
      </c>
      <c r="Q296" s="70">
        <v>0</v>
      </c>
      <c r="R296" s="70">
        <v>0</v>
      </c>
      <c r="S296" s="70">
        <v>0</v>
      </c>
      <c r="T296" s="70">
        <v>0</v>
      </c>
      <c r="U296" s="71">
        <f t="shared" ref="U296:U304" si="67">R296/G296</f>
        <v>0</v>
      </c>
      <c r="V296" s="128">
        <f t="shared" si="60"/>
        <v>0</v>
      </c>
      <c r="W296" s="128">
        <f t="shared" si="61"/>
        <v>0</v>
      </c>
      <c r="X296" s="128">
        <f t="shared" si="62"/>
        <v>0</v>
      </c>
      <c r="Y296" s="128">
        <f t="shared" si="63"/>
        <v>0</v>
      </c>
      <c r="Z296" s="195">
        <f t="shared" si="64"/>
        <v>0</v>
      </c>
      <c r="AA296" s="194">
        <f t="shared" si="65"/>
        <v>0</v>
      </c>
    </row>
    <row r="297" spans="1:27">
      <c r="A297" s="23"/>
      <c r="B297" s="465" t="s">
        <v>88</v>
      </c>
      <c r="C297" s="466"/>
      <c r="D297" s="466"/>
      <c r="E297" s="466"/>
      <c r="F297" s="467"/>
      <c r="G297" s="277">
        <v>5800</v>
      </c>
      <c r="H297" s="292"/>
      <c r="I297" s="64">
        <v>0</v>
      </c>
      <c r="J297" s="70">
        <v>0</v>
      </c>
      <c r="K297" s="70">
        <v>0</v>
      </c>
      <c r="L297" s="70">
        <v>0</v>
      </c>
      <c r="M297" s="70">
        <v>0</v>
      </c>
      <c r="N297" s="70">
        <v>0</v>
      </c>
      <c r="O297" s="70">
        <v>0</v>
      </c>
      <c r="P297" s="70">
        <v>0</v>
      </c>
      <c r="Q297" s="70">
        <v>0</v>
      </c>
      <c r="R297" s="70">
        <v>0</v>
      </c>
      <c r="S297" s="70">
        <v>0</v>
      </c>
      <c r="T297" s="70">
        <v>0</v>
      </c>
      <c r="U297" s="71">
        <f t="shared" si="67"/>
        <v>0</v>
      </c>
      <c r="V297" s="128">
        <f t="shared" si="60"/>
        <v>0</v>
      </c>
      <c r="W297" s="128">
        <f t="shared" si="61"/>
        <v>0</v>
      </c>
      <c r="X297" s="128">
        <f t="shared" si="62"/>
        <v>0</v>
      </c>
      <c r="Y297" s="128">
        <f t="shared" si="63"/>
        <v>0</v>
      </c>
      <c r="Z297" s="195">
        <f t="shared" si="64"/>
        <v>0</v>
      </c>
      <c r="AA297" s="194">
        <f t="shared" si="65"/>
        <v>0</v>
      </c>
    </row>
    <row r="298" spans="1:27">
      <c r="A298" s="23"/>
      <c r="B298" s="465" t="s">
        <v>131</v>
      </c>
      <c r="C298" s="466"/>
      <c r="D298" s="466"/>
      <c r="E298" s="466"/>
      <c r="F298" s="467"/>
      <c r="G298" s="277">
        <v>40000</v>
      </c>
      <c r="H298" s="292"/>
      <c r="I298" s="64">
        <v>0</v>
      </c>
      <c r="J298" s="70">
        <v>0</v>
      </c>
      <c r="K298" s="70">
        <v>0</v>
      </c>
      <c r="L298" s="70">
        <v>0</v>
      </c>
      <c r="M298" s="70">
        <v>0</v>
      </c>
      <c r="N298" s="70">
        <v>0</v>
      </c>
      <c r="O298" s="70">
        <v>0</v>
      </c>
      <c r="P298" s="70">
        <v>0</v>
      </c>
      <c r="Q298" s="70">
        <v>0</v>
      </c>
      <c r="R298" s="70">
        <v>0</v>
      </c>
      <c r="S298" s="70">
        <v>0</v>
      </c>
      <c r="T298" s="70">
        <v>0</v>
      </c>
      <c r="U298" s="71">
        <f t="shared" si="67"/>
        <v>0</v>
      </c>
      <c r="V298" s="128">
        <f t="shared" si="60"/>
        <v>0</v>
      </c>
      <c r="W298" s="128">
        <f t="shared" si="61"/>
        <v>0</v>
      </c>
      <c r="X298" s="128">
        <f t="shared" si="62"/>
        <v>0</v>
      </c>
      <c r="Y298" s="128">
        <f t="shared" si="63"/>
        <v>0</v>
      </c>
      <c r="Z298" s="195">
        <f t="shared" si="64"/>
        <v>0</v>
      </c>
      <c r="AA298" s="194">
        <f t="shared" si="65"/>
        <v>0</v>
      </c>
    </row>
    <row r="299" spans="1:27">
      <c r="A299" s="23"/>
      <c r="B299" s="465" t="s">
        <v>87</v>
      </c>
      <c r="C299" s="466"/>
      <c r="D299" s="466"/>
      <c r="E299" s="466"/>
      <c r="F299" s="467"/>
      <c r="G299" s="277">
        <v>9000</v>
      </c>
      <c r="H299" s="292"/>
      <c r="I299" s="64">
        <v>0</v>
      </c>
      <c r="J299" s="70">
        <v>0</v>
      </c>
      <c r="K299" s="70">
        <v>0</v>
      </c>
      <c r="L299" s="70">
        <v>0</v>
      </c>
      <c r="M299" s="70">
        <v>0</v>
      </c>
      <c r="N299" s="70">
        <v>0</v>
      </c>
      <c r="O299" s="70">
        <v>0</v>
      </c>
      <c r="P299" s="70">
        <v>0</v>
      </c>
      <c r="Q299" s="70">
        <v>0</v>
      </c>
      <c r="R299" s="70">
        <v>0</v>
      </c>
      <c r="S299" s="70">
        <v>0</v>
      </c>
      <c r="T299" s="70">
        <v>0</v>
      </c>
      <c r="U299" s="71">
        <f t="shared" si="67"/>
        <v>0</v>
      </c>
      <c r="V299" s="128">
        <f t="shared" si="60"/>
        <v>0</v>
      </c>
      <c r="W299" s="128">
        <f t="shared" si="61"/>
        <v>0</v>
      </c>
      <c r="X299" s="128">
        <f t="shared" si="62"/>
        <v>0</v>
      </c>
      <c r="Y299" s="128">
        <f t="shared" si="63"/>
        <v>0</v>
      </c>
      <c r="Z299" s="195">
        <f t="shared" si="64"/>
        <v>0</v>
      </c>
      <c r="AA299" s="194">
        <f t="shared" si="65"/>
        <v>0</v>
      </c>
    </row>
    <row r="300" spans="1:27">
      <c r="A300" s="23"/>
      <c r="B300" s="465" t="s">
        <v>89</v>
      </c>
      <c r="C300" s="466"/>
      <c r="D300" s="466"/>
      <c r="E300" s="466"/>
      <c r="F300" s="467"/>
      <c r="G300" s="277">
        <v>8000</v>
      </c>
      <c r="H300" s="292"/>
      <c r="I300" s="64">
        <v>0</v>
      </c>
      <c r="J300" s="70">
        <v>0</v>
      </c>
      <c r="K300" s="70">
        <v>0</v>
      </c>
      <c r="L300" s="70">
        <v>0</v>
      </c>
      <c r="M300" s="70">
        <v>0</v>
      </c>
      <c r="N300" s="70">
        <v>0</v>
      </c>
      <c r="O300" s="70">
        <v>0</v>
      </c>
      <c r="P300" s="70">
        <v>0</v>
      </c>
      <c r="Q300" s="70">
        <v>0</v>
      </c>
      <c r="R300" s="70">
        <v>0</v>
      </c>
      <c r="S300" s="70">
        <v>0</v>
      </c>
      <c r="T300" s="70">
        <v>0</v>
      </c>
      <c r="U300" s="71">
        <f t="shared" si="67"/>
        <v>0</v>
      </c>
      <c r="V300" s="128">
        <f t="shared" si="60"/>
        <v>0</v>
      </c>
      <c r="W300" s="128">
        <f t="shared" si="61"/>
        <v>0</v>
      </c>
      <c r="X300" s="128">
        <f t="shared" si="62"/>
        <v>0</v>
      </c>
      <c r="Y300" s="128">
        <f t="shared" si="63"/>
        <v>0</v>
      </c>
      <c r="Z300" s="195">
        <f t="shared" si="64"/>
        <v>0</v>
      </c>
      <c r="AA300" s="194">
        <f t="shared" si="65"/>
        <v>0</v>
      </c>
    </row>
    <row r="301" spans="1:27">
      <c r="A301" s="23"/>
      <c r="B301" s="465" t="s">
        <v>90</v>
      </c>
      <c r="C301" s="466"/>
      <c r="D301" s="466"/>
      <c r="E301" s="466"/>
      <c r="F301" s="467"/>
      <c r="G301" s="277">
        <v>9000</v>
      </c>
      <c r="H301" s="292"/>
      <c r="I301" s="64">
        <v>0</v>
      </c>
      <c r="J301" s="70">
        <v>0</v>
      </c>
      <c r="K301" s="70">
        <v>0</v>
      </c>
      <c r="L301" s="70">
        <v>0</v>
      </c>
      <c r="M301" s="70">
        <v>0</v>
      </c>
      <c r="N301" s="70">
        <v>0</v>
      </c>
      <c r="O301" s="70">
        <v>0</v>
      </c>
      <c r="P301" s="70">
        <v>0</v>
      </c>
      <c r="Q301" s="70">
        <v>0</v>
      </c>
      <c r="R301" s="70">
        <v>0</v>
      </c>
      <c r="S301" s="70">
        <v>0</v>
      </c>
      <c r="T301" s="70">
        <v>0</v>
      </c>
      <c r="U301" s="71">
        <f t="shared" si="67"/>
        <v>0</v>
      </c>
      <c r="V301" s="128">
        <f t="shared" si="60"/>
        <v>0</v>
      </c>
      <c r="W301" s="128">
        <f t="shared" si="61"/>
        <v>0</v>
      </c>
      <c r="X301" s="128">
        <f t="shared" si="62"/>
        <v>0</v>
      </c>
      <c r="Y301" s="128">
        <f t="shared" si="63"/>
        <v>0</v>
      </c>
      <c r="Z301" s="195">
        <f t="shared" si="64"/>
        <v>0</v>
      </c>
      <c r="AA301" s="194">
        <f t="shared" si="65"/>
        <v>0</v>
      </c>
    </row>
    <row r="302" spans="1:27">
      <c r="A302" s="23"/>
      <c r="B302" s="465" t="s">
        <v>64</v>
      </c>
      <c r="C302" s="466"/>
      <c r="D302" s="466"/>
      <c r="E302" s="466"/>
      <c r="F302" s="467"/>
      <c r="G302" s="277">
        <v>3750</v>
      </c>
      <c r="H302" s="292"/>
      <c r="I302" s="64">
        <v>0</v>
      </c>
      <c r="J302" s="70">
        <v>0</v>
      </c>
      <c r="K302" s="70">
        <v>0</v>
      </c>
      <c r="L302" s="70">
        <v>0</v>
      </c>
      <c r="M302" s="70">
        <v>0</v>
      </c>
      <c r="N302" s="70">
        <v>0</v>
      </c>
      <c r="O302" s="70">
        <v>0</v>
      </c>
      <c r="P302" s="70">
        <v>0</v>
      </c>
      <c r="Q302" s="70">
        <v>0</v>
      </c>
      <c r="R302" s="70">
        <v>0</v>
      </c>
      <c r="S302" s="70">
        <v>0</v>
      </c>
      <c r="T302" s="70">
        <v>0</v>
      </c>
      <c r="U302" s="71">
        <f t="shared" si="67"/>
        <v>0</v>
      </c>
      <c r="V302" s="128">
        <f t="shared" si="60"/>
        <v>0</v>
      </c>
      <c r="W302" s="128">
        <f t="shared" si="61"/>
        <v>0</v>
      </c>
      <c r="X302" s="128">
        <f t="shared" si="62"/>
        <v>0</v>
      </c>
      <c r="Y302" s="128">
        <f t="shared" si="63"/>
        <v>0</v>
      </c>
      <c r="Z302" s="195">
        <f t="shared" si="64"/>
        <v>0</v>
      </c>
      <c r="AA302" s="194">
        <f t="shared" si="65"/>
        <v>0</v>
      </c>
    </row>
    <row r="303" spans="1:27">
      <c r="A303" s="23"/>
      <c r="B303" s="465" t="s">
        <v>91</v>
      </c>
      <c r="C303" s="466"/>
      <c r="D303" s="466"/>
      <c r="E303" s="466"/>
      <c r="F303" s="467"/>
      <c r="G303" s="277">
        <v>6000</v>
      </c>
      <c r="H303" s="292"/>
      <c r="I303" s="64">
        <v>0</v>
      </c>
      <c r="J303" s="70">
        <v>0</v>
      </c>
      <c r="K303" s="70">
        <v>0</v>
      </c>
      <c r="L303" s="70">
        <v>0</v>
      </c>
      <c r="M303" s="70">
        <v>0</v>
      </c>
      <c r="N303" s="70">
        <v>0</v>
      </c>
      <c r="O303" s="70">
        <v>0</v>
      </c>
      <c r="P303" s="70">
        <v>0</v>
      </c>
      <c r="Q303" s="70">
        <v>0</v>
      </c>
      <c r="R303" s="70">
        <v>0</v>
      </c>
      <c r="S303" s="70">
        <v>0</v>
      </c>
      <c r="T303" s="70">
        <v>0</v>
      </c>
      <c r="U303" s="71">
        <f t="shared" si="67"/>
        <v>0</v>
      </c>
      <c r="V303" s="128">
        <f t="shared" si="60"/>
        <v>0</v>
      </c>
      <c r="W303" s="128">
        <f t="shared" si="61"/>
        <v>0</v>
      </c>
      <c r="X303" s="128">
        <f t="shared" si="62"/>
        <v>0</v>
      </c>
      <c r="Y303" s="128">
        <f t="shared" si="63"/>
        <v>0</v>
      </c>
      <c r="Z303" s="195">
        <f t="shared" si="64"/>
        <v>0</v>
      </c>
      <c r="AA303" s="194">
        <f t="shared" si="65"/>
        <v>0</v>
      </c>
    </row>
    <row r="304" spans="1:27">
      <c r="A304" s="23"/>
      <c r="B304" s="465" t="s">
        <v>81</v>
      </c>
      <c r="C304" s="466"/>
      <c r="D304" s="466"/>
      <c r="E304" s="466"/>
      <c r="F304" s="467"/>
      <c r="G304" s="277">
        <v>195000</v>
      </c>
      <c r="H304" s="292"/>
      <c r="I304" s="64">
        <v>26000</v>
      </c>
      <c r="J304" s="70">
        <v>0</v>
      </c>
      <c r="K304" s="70">
        <v>0</v>
      </c>
      <c r="L304" s="70">
        <v>23419.61</v>
      </c>
      <c r="M304" s="70">
        <v>0</v>
      </c>
      <c r="N304" s="70">
        <v>0</v>
      </c>
      <c r="O304" s="70">
        <f>26000+26000+26000</f>
        <v>78000</v>
      </c>
      <c r="P304" s="70">
        <v>0</v>
      </c>
      <c r="Q304" s="70">
        <v>0</v>
      </c>
      <c r="R304" s="70">
        <f>23416.71+27887.03+23419.61</f>
        <v>74723.350000000006</v>
      </c>
      <c r="S304" s="70">
        <v>0</v>
      </c>
      <c r="T304" s="70">
        <v>0</v>
      </c>
      <c r="U304" s="71">
        <f t="shared" si="67"/>
        <v>0.38319666666666669</v>
      </c>
      <c r="V304" s="128">
        <f t="shared" si="60"/>
        <v>78000</v>
      </c>
      <c r="W304" s="128">
        <f t="shared" si="61"/>
        <v>0</v>
      </c>
      <c r="X304" s="128">
        <f t="shared" si="62"/>
        <v>74723.350000000006</v>
      </c>
      <c r="Y304" s="128">
        <f t="shared" si="63"/>
        <v>0</v>
      </c>
      <c r="Z304" s="195">
        <f t="shared" si="64"/>
        <v>0.38319666666666669</v>
      </c>
      <c r="AA304" s="194">
        <f t="shared" si="65"/>
        <v>0</v>
      </c>
    </row>
    <row r="305" spans="1:27" ht="15" customHeight="1">
      <c r="A305" s="23"/>
      <c r="B305" s="465" t="s">
        <v>132</v>
      </c>
      <c r="C305" s="466"/>
      <c r="D305" s="466"/>
      <c r="E305" s="466"/>
      <c r="F305" s="467"/>
      <c r="G305" s="277">
        <v>1900</v>
      </c>
      <c r="H305" s="292"/>
      <c r="I305" s="64">
        <v>0</v>
      </c>
      <c r="J305" s="70">
        <v>0</v>
      </c>
      <c r="K305" s="70">
        <v>0</v>
      </c>
      <c r="L305" s="70">
        <v>0</v>
      </c>
      <c r="M305" s="70">
        <v>0</v>
      </c>
      <c r="N305" s="70">
        <v>0</v>
      </c>
      <c r="O305" s="70">
        <v>0</v>
      </c>
      <c r="P305" s="70">
        <v>0</v>
      </c>
      <c r="Q305" s="70">
        <v>0</v>
      </c>
      <c r="R305" s="70">
        <v>0</v>
      </c>
      <c r="S305" s="70">
        <v>0</v>
      </c>
      <c r="T305" s="70">
        <v>0</v>
      </c>
      <c r="U305" s="71">
        <f>R305/G305</f>
        <v>0</v>
      </c>
      <c r="V305" s="128">
        <f t="shared" si="60"/>
        <v>0</v>
      </c>
      <c r="W305" s="128">
        <f t="shared" si="61"/>
        <v>0</v>
      </c>
      <c r="X305" s="128">
        <f t="shared" si="62"/>
        <v>0</v>
      </c>
      <c r="Y305" s="128">
        <f t="shared" si="63"/>
        <v>0</v>
      </c>
      <c r="Z305" s="195">
        <f t="shared" si="64"/>
        <v>0</v>
      </c>
      <c r="AA305" s="194">
        <f t="shared" si="65"/>
        <v>0</v>
      </c>
    </row>
    <row r="306" spans="1:27" ht="15" customHeight="1">
      <c r="A306" s="23"/>
      <c r="B306" s="465" t="s">
        <v>133</v>
      </c>
      <c r="C306" s="466"/>
      <c r="D306" s="466"/>
      <c r="E306" s="466"/>
      <c r="F306" s="467"/>
      <c r="G306" s="277">
        <v>20000</v>
      </c>
      <c r="H306" s="292"/>
      <c r="I306" s="64">
        <v>0</v>
      </c>
      <c r="J306" s="26">
        <v>0</v>
      </c>
      <c r="K306" s="26">
        <v>0</v>
      </c>
      <c r="L306" s="26">
        <v>0</v>
      </c>
      <c r="M306" s="26">
        <v>0</v>
      </c>
      <c r="N306" s="26">
        <v>0</v>
      </c>
      <c r="O306" s="26">
        <v>0</v>
      </c>
      <c r="P306" s="26">
        <v>0</v>
      </c>
      <c r="Q306" s="26">
        <v>0</v>
      </c>
      <c r="R306" s="26">
        <v>0</v>
      </c>
      <c r="S306" s="26">
        <v>0</v>
      </c>
      <c r="T306" s="26">
        <v>0</v>
      </c>
      <c r="U306" s="65">
        <f>R306/G306</f>
        <v>0</v>
      </c>
      <c r="V306" s="128">
        <f t="shared" si="60"/>
        <v>0</v>
      </c>
      <c r="W306" s="128">
        <f t="shared" si="61"/>
        <v>0</v>
      </c>
      <c r="X306" s="128">
        <f t="shared" si="62"/>
        <v>0</v>
      </c>
      <c r="Y306" s="128">
        <f t="shared" si="63"/>
        <v>0</v>
      </c>
      <c r="Z306" s="195">
        <f t="shared" si="64"/>
        <v>0</v>
      </c>
      <c r="AA306" s="194">
        <f t="shared" si="65"/>
        <v>0</v>
      </c>
    </row>
    <row r="307" spans="1:27" ht="15" customHeight="1">
      <c r="A307" s="23"/>
      <c r="B307" s="274" t="s">
        <v>134</v>
      </c>
      <c r="C307" s="275"/>
      <c r="D307" s="275"/>
      <c r="E307" s="275"/>
      <c r="F307" s="276"/>
      <c r="G307" s="277">
        <v>7200</v>
      </c>
      <c r="H307" s="292"/>
      <c r="I307" s="64">
        <v>0</v>
      </c>
      <c r="J307" s="26">
        <v>0</v>
      </c>
      <c r="K307" s="26">
        <v>0</v>
      </c>
      <c r="L307" s="26">
        <v>0</v>
      </c>
      <c r="M307" s="26">
        <v>0</v>
      </c>
      <c r="N307" s="26">
        <v>0</v>
      </c>
      <c r="O307" s="26">
        <v>0</v>
      </c>
      <c r="P307" s="26">
        <v>0</v>
      </c>
      <c r="Q307" s="26">
        <v>0</v>
      </c>
      <c r="R307" s="26">
        <v>0</v>
      </c>
      <c r="S307" s="26">
        <v>0</v>
      </c>
      <c r="T307" s="26">
        <v>0</v>
      </c>
      <c r="U307" s="65">
        <f>R307/G307</f>
        <v>0</v>
      </c>
      <c r="V307" s="128">
        <f t="shared" si="60"/>
        <v>0</v>
      </c>
      <c r="W307" s="128">
        <f t="shared" si="61"/>
        <v>0</v>
      </c>
      <c r="X307" s="128">
        <f t="shared" si="62"/>
        <v>0</v>
      </c>
      <c r="Y307" s="128">
        <f t="shared" si="63"/>
        <v>0</v>
      </c>
      <c r="Z307" s="195">
        <f t="shared" si="64"/>
        <v>0</v>
      </c>
      <c r="AA307" s="194">
        <f t="shared" si="65"/>
        <v>0</v>
      </c>
    </row>
    <row r="308" spans="1:27" ht="15" customHeight="1">
      <c r="A308" s="23"/>
      <c r="B308" s="274" t="s">
        <v>79</v>
      </c>
      <c r="C308" s="275"/>
      <c r="D308" s="275"/>
      <c r="E308" s="275"/>
      <c r="F308" s="276"/>
      <c r="G308" s="277">
        <v>37500</v>
      </c>
      <c r="H308" s="292"/>
      <c r="I308" s="64">
        <v>0</v>
      </c>
      <c r="J308" s="26">
        <v>0</v>
      </c>
      <c r="K308" s="26">
        <v>0</v>
      </c>
      <c r="L308" s="26">
        <v>0</v>
      </c>
      <c r="M308" s="26">
        <v>0</v>
      </c>
      <c r="N308" s="26">
        <v>0</v>
      </c>
      <c r="O308" s="26">
        <v>0</v>
      </c>
      <c r="P308" s="26">
        <v>0</v>
      </c>
      <c r="Q308" s="26">
        <v>0</v>
      </c>
      <c r="R308" s="26">
        <v>0</v>
      </c>
      <c r="S308" s="26">
        <v>0</v>
      </c>
      <c r="T308" s="26">
        <v>0</v>
      </c>
      <c r="U308" s="65">
        <f t="shared" ref="U308:U309" si="68">R308/G308</f>
        <v>0</v>
      </c>
      <c r="V308" s="128">
        <f t="shared" si="60"/>
        <v>0</v>
      </c>
      <c r="W308" s="128">
        <f t="shared" si="61"/>
        <v>0</v>
      </c>
      <c r="X308" s="128">
        <f t="shared" si="62"/>
        <v>0</v>
      </c>
      <c r="Y308" s="128">
        <f t="shared" si="63"/>
        <v>0</v>
      </c>
      <c r="Z308" s="195">
        <f t="shared" si="64"/>
        <v>0</v>
      </c>
      <c r="AA308" s="194">
        <f t="shared" si="65"/>
        <v>0</v>
      </c>
    </row>
    <row r="309" spans="1:27" ht="15" customHeight="1">
      <c r="A309" s="23"/>
      <c r="B309" s="274" t="s">
        <v>92</v>
      </c>
      <c r="C309" s="275"/>
      <c r="D309" s="275"/>
      <c r="E309" s="275"/>
      <c r="F309" s="276"/>
      <c r="G309" s="277">
        <v>39600</v>
      </c>
      <c r="H309" s="292"/>
      <c r="I309" s="64">
        <v>0</v>
      </c>
      <c r="J309" s="26">
        <v>0</v>
      </c>
      <c r="K309" s="26">
        <v>0</v>
      </c>
      <c r="L309" s="26">
        <v>0</v>
      </c>
      <c r="M309" s="26">
        <v>0</v>
      </c>
      <c r="N309" s="26">
        <v>0</v>
      </c>
      <c r="O309" s="26">
        <v>0</v>
      </c>
      <c r="P309" s="26">
        <v>0</v>
      </c>
      <c r="Q309" s="26">
        <v>0</v>
      </c>
      <c r="R309" s="26">
        <v>0</v>
      </c>
      <c r="S309" s="26">
        <v>0</v>
      </c>
      <c r="T309" s="26">
        <v>0</v>
      </c>
      <c r="U309" s="65">
        <f t="shared" si="68"/>
        <v>0</v>
      </c>
      <c r="V309" s="128">
        <f t="shared" si="60"/>
        <v>0</v>
      </c>
      <c r="W309" s="128">
        <f t="shared" si="61"/>
        <v>0</v>
      </c>
      <c r="X309" s="128">
        <f t="shared" si="62"/>
        <v>0</v>
      </c>
      <c r="Y309" s="128">
        <f t="shared" si="63"/>
        <v>0</v>
      </c>
      <c r="Z309" s="195">
        <f t="shared" si="64"/>
        <v>0</v>
      </c>
      <c r="AA309" s="194">
        <f t="shared" si="65"/>
        <v>0</v>
      </c>
    </row>
    <row r="310" spans="1:27">
      <c r="A310" s="23"/>
      <c r="B310" s="274" t="s">
        <v>65</v>
      </c>
      <c r="C310" s="275"/>
      <c r="D310" s="275"/>
      <c r="E310" s="275"/>
      <c r="F310" s="276"/>
      <c r="G310" s="463">
        <v>23750</v>
      </c>
      <c r="H310" s="476"/>
      <c r="I310" s="64">
        <v>0</v>
      </c>
      <c r="J310" s="26">
        <v>0</v>
      </c>
      <c r="K310" s="26">
        <v>0</v>
      </c>
      <c r="L310" s="26">
        <v>0</v>
      </c>
      <c r="M310" s="26">
        <v>0</v>
      </c>
      <c r="N310" s="26">
        <v>0</v>
      </c>
      <c r="O310" s="26">
        <v>0</v>
      </c>
      <c r="P310" s="26">
        <v>0</v>
      </c>
      <c r="Q310" s="26">
        <v>0</v>
      </c>
      <c r="R310" s="26">
        <v>0</v>
      </c>
      <c r="S310" s="26">
        <v>0</v>
      </c>
      <c r="T310" s="26">
        <v>0</v>
      </c>
      <c r="U310" s="65">
        <f>R310/G310</f>
        <v>0</v>
      </c>
      <c r="V310" s="128">
        <f t="shared" si="60"/>
        <v>0</v>
      </c>
      <c r="W310" s="128">
        <f t="shared" si="61"/>
        <v>0</v>
      </c>
      <c r="X310" s="128">
        <f t="shared" si="62"/>
        <v>0</v>
      </c>
      <c r="Y310" s="128">
        <f t="shared" si="63"/>
        <v>0</v>
      </c>
      <c r="Z310" s="195">
        <f t="shared" si="64"/>
        <v>0</v>
      </c>
      <c r="AA310" s="194">
        <f t="shared" si="65"/>
        <v>0</v>
      </c>
    </row>
    <row r="311" spans="1:27" ht="15.75" thickBot="1">
      <c r="A311" s="23"/>
      <c r="B311" s="453"/>
      <c r="C311" s="454"/>
      <c r="D311" s="454"/>
      <c r="E311" s="454"/>
      <c r="F311" s="455"/>
      <c r="G311" s="456"/>
      <c r="H311" s="457"/>
      <c r="I311" s="64"/>
      <c r="J311" s="26"/>
      <c r="K311" s="26"/>
      <c r="L311" s="26"/>
      <c r="M311" s="26"/>
      <c r="N311" s="26"/>
      <c r="O311" s="26"/>
      <c r="P311" s="26"/>
      <c r="Q311" s="26"/>
      <c r="R311" s="26"/>
      <c r="S311" s="26"/>
      <c r="T311" s="26"/>
      <c r="U311" s="27"/>
    </row>
    <row r="312" spans="1:27" ht="15.75" thickBot="1">
      <c r="A312" s="23"/>
      <c r="B312" s="257" t="s">
        <v>21</v>
      </c>
      <c r="C312" s="258"/>
      <c r="D312" s="258"/>
      <c r="E312" s="258"/>
      <c r="F312" s="259"/>
      <c r="G312" s="260">
        <f>SUM(G290:H311)</f>
        <v>675408</v>
      </c>
      <c r="H312" s="261"/>
      <c r="I312" s="29">
        <f>SUM(I290:I311)</f>
        <v>42500</v>
      </c>
      <c r="J312" s="29"/>
      <c r="K312" s="29"/>
      <c r="L312" s="29">
        <f>SUM(L290:L311)</f>
        <v>23419.61</v>
      </c>
      <c r="M312" s="29"/>
      <c r="N312" s="29"/>
      <c r="O312" s="29">
        <f>SUM(O290:O311)</f>
        <v>127500</v>
      </c>
      <c r="P312" s="29"/>
      <c r="Q312" s="29"/>
      <c r="R312" s="29">
        <f>SUM(R290:R311)</f>
        <v>74723.350000000006</v>
      </c>
      <c r="S312" s="29"/>
      <c r="T312" s="30"/>
      <c r="U312" s="78">
        <f>R312/G312</f>
        <v>0.11063438691872172</v>
      </c>
    </row>
    <row r="313" spans="1:27" ht="15.75" thickBot="1">
      <c r="A313" s="23"/>
      <c r="B313" s="297"/>
      <c r="C313" s="297"/>
      <c r="D313" s="297"/>
      <c r="E313" s="297"/>
      <c r="F313" s="297"/>
      <c r="G313" s="298"/>
      <c r="H313" s="298"/>
      <c r="I313" s="64"/>
      <c r="J313" s="64"/>
      <c r="K313" s="64"/>
      <c r="L313" s="64"/>
      <c r="M313" s="64"/>
      <c r="N313" s="64"/>
      <c r="O313" s="64"/>
      <c r="P313" s="64"/>
      <c r="Q313" s="64"/>
      <c r="R313" s="64"/>
      <c r="S313" s="64"/>
      <c r="T313" s="64"/>
      <c r="U313" s="72"/>
    </row>
    <row r="314" spans="1:27" ht="15.75" thickBot="1">
      <c r="A314" s="23"/>
      <c r="B314" s="284" t="s">
        <v>30</v>
      </c>
      <c r="C314" s="285"/>
      <c r="D314" s="285"/>
      <c r="E314" s="285"/>
      <c r="F314" s="285"/>
      <c r="G314" s="285"/>
      <c r="H314" s="285"/>
      <c r="I314" s="285"/>
      <c r="J314" s="285"/>
      <c r="K314" s="285"/>
      <c r="L314" s="285"/>
      <c r="M314" s="285"/>
      <c r="N314" s="285"/>
      <c r="O314" s="285"/>
      <c r="P314" s="285"/>
      <c r="Q314" s="285"/>
      <c r="R314" s="285"/>
      <c r="S314" s="285"/>
      <c r="T314" s="285"/>
      <c r="U314" s="286"/>
    </row>
    <row r="315" spans="1:27" ht="15" customHeight="1">
      <c r="A315" s="23"/>
      <c r="B315" s="473" t="s">
        <v>80</v>
      </c>
      <c r="C315" s="474"/>
      <c r="D315" s="474"/>
      <c r="E315" s="474"/>
      <c r="F315" s="475"/>
      <c r="G315" s="471">
        <v>11500</v>
      </c>
      <c r="H315" s="472"/>
      <c r="I315" s="74">
        <v>0</v>
      </c>
      <c r="J315" s="74">
        <v>0</v>
      </c>
      <c r="K315" s="74">
        <v>0</v>
      </c>
      <c r="L315" s="74">
        <v>0</v>
      </c>
      <c r="M315" s="74">
        <v>0</v>
      </c>
      <c r="N315" s="74">
        <v>0</v>
      </c>
      <c r="O315" s="74">
        <v>0</v>
      </c>
      <c r="P315" s="74">
        <v>0</v>
      </c>
      <c r="Q315" s="74">
        <v>0</v>
      </c>
      <c r="R315" s="74">
        <v>0</v>
      </c>
      <c r="S315" s="74">
        <v>0</v>
      </c>
      <c r="T315" s="67">
        <v>0</v>
      </c>
      <c r="U315" s="75">
        <f t="shared" ref="U315:U322" si="69">R315/G315</f>
        <v>0</v>
      </c>
      <c r="V315" s="128">
        <f t="shared" ref="V315:V322" si="70">+I315+O193</f>
        <v>0</v>
      </c>
      <c r="W315" s="128">
        <f t="shared" ref="W315:W322" si="71">+O315-V315</f>
        <v>0</v>
      </c>
      <c r="X315" s="128">
        <f t="shared" ref="X315:X322" si="72">+L315+R193</f>
        <v>0</v>
      </c>
      <c r="Y315" s="128">
        <f t="shared" ref="Y315:Y322" si="73">+R315-X315</f>
        <v>0</v>
      </c>
      <c r="Z315" s="195">
        <f t="shared" ref="Z315:Z322" si="74">+X315/G315</f>
        <v>0</v>
      </c>
      <c r="AA315" s="194">
        <f t="shared" ref="AA315:AA322" si="75">+U315-Z315</f>
        <v>0</v>
      </c>
    </row>
    <row r="316" spans="1:27" s="40" customFormat="1">
      <c r="A316" s="152"/>
      <c r="B316" s="274" t="s">
        <v>124</v>
      </c>
      <c r="C316" s="275"/>
      <c r="D316" s="275"/>
      <c r="E316" s="275"/>
      <c r="F316" s="276"/>
      <c r="G316" s="277">
        <v>30000</v>
      </c>
      <c r="H316" s="278"/>
      <c r="I316" s="116">
        <v>0</v>
      </c>
      <c r="J316" s="116">
        <v>0</v>
      </c>
      <c r="K316" s="116">
        <v>0</v>
      </c>
      <c r="L316" s="116">
        <v>0</v>
      </c>
      <c r="M316" s="116">
        <v>0</v>
      </c>
      <c r="N316" s="116">
        <v>0</v>
      </c>
      <c r="O316" s="116">
        <v>0</v>
      </c>
      <c r="P316" s="116">
        <v>0</v>
      </c>
      <c r="Q316" s="116">
        <v>0</v>
      </c>
      <c r="R316" s="116">
        <v>0</v>
      </c>
      <c r="S316" s="116">
        <v>0</v>
      </c>
      <c r="T316" s="117">
        <v>0</v>
      </c>
      <c r="U316" s="153">
        <f t="shared" si="69"/>
        <v>0</v>
      </c>
      <c r="V316" s="128">
        <f t="shared" si="70"/>
        <v>0</v>
      </c>
      <c r="W316" s="128">
        <f t="shared" si="71"/>
        <v>0</v>
      </c>
      <c r="X316" s="128">
        <f t="shared" si="72"/>
        <v>0</v>
      </c>
      <c r="Y316" s="128">
        <f t="shared" si="73"/>
        <v>0</v>
      </c>
      <c r="Z316" s="195">
        <f t="shared" si="74"/>
        <v>0</v>
      </c>
      <c r="AA316" s="194">
        <f t="shared" si="75"/>
        <v>0</v>
      </c>
    </row>
    <row r="317" spans="1:27" s="40" customFormat="1">
      <c r="A317" s="152"/>
      <c r="B317" s="274" t="s">
        <v>123</v>
      </c>
      <c r="C317" s="275"/>
      <c r="D317" s="275"/>
      <c r="E317" s="275"/>
      <c r="F317" s="276"/>
      <c r="G317" s="277">
        <v>12328</v>
      </c>
      <c r="H317" s="278"/>
      <c r="I317" s="116">
        <v>12328</v>
      </c>
      <c r="J317" s="116">
        <v>0</v>
      </c>
      <c r="K317" s="116">
        <v>0</v>
      </c>
      <c r="L317" s="116">
        <v>0</v>
      </c>
      <c r="M317" s="116">
        <v>0</v>
      </c>
      <c r="N317" s="116">
        <v>0</v>
      </c>
      <c r="O317" s="116">
        <v>12328</v>
      </c>
      <c r="P317" s="116">
        <v>0</v>
      </c>
      <c r="Q317" s="116">
        <v>0</v>
      </c>
      <c r="R317" s="116">
        <f>0+0+0</f>
        <v>0</v>
      </c>
      <c r="S317" s="116">
        <v>0</v>
      </c>
      <c r="T317" s="117">
        <v>0</v>
      </c>
      <c r="U317" s="153">
        <f t="shared" si="69"/>
        <v>0</v>
      </c>
      <c r="V317" s="128">
        <f t="shared" si="70"/>
        <v>12328</v>
      </c>
      <c r="W317" s="128">
        <f t="shared" si="71"/>
        <v>0</v>
      </c>
      <c r="X317" s="128">
        <f t="shared" si="72"/>
        <v>0</v>
      </c>
      <c r="Y317" s="128">
        <f t="shared" si="73"/>
        <v>0</v>
      </c>
      <c r="Z317" s="195">
        <f t="shared" si="74"/>
        <v>0</v>
      </c>
      <c r="AA317" s="194">
        <f t="shared" si="75"/>
        <v>0</v>
      </c>
    </row>
    <row r="318" spans="1:27" ht="15" customHeight="1">
      <c r="A318" s="23"/>
      <c r="B318" s="465" t="s">
        <v>66</v>
      </c>
      <c r="C318" s="466"/>
      <c r="D318" s="466"/>
      <c r="E318" s="466"/>
      <c r="F318" s="467"/>
      <c r="G318" s="463">
        <v>16000</v>
      </c>
      <c r="H318" s="464"/>
      <c r="I318" s="26">
        <v>0</v>
      </c>
      <c r="J318" s="26">
        <v>0</v>
      </c>
      <c r="K318" s="26">
        <v>0</v>
      </c>
      <c r="L318" s="26">
        <v>0</v>
      </c>
      <c r="M318" s="26">
        <v>0</v>
      </c>
      <c r="N318" s="26">
        <v>0</v>
      </c>
      <c r="O318" s="26">
        <v>0</v>
      </c>
      <c r="P318" s="26">
        <v>0</v>
      </c>
      <c r="Q318" s="26">
        <v>0</v>
      </c>
      <c r="R318" s="26">
        <v>0</v>
      </c>
      <c r="S318" s="26">
        <v>0</v>
      </c>
      <c r="T318" s="70">
        <v>0</v>
      </c>
      <c r="U318" s="71">
        <f t="shared" si="69"/>
        <v>0</v>
      </c>
      <c r="V318" s="128">
        <f t="shared" si="70"/>
        <v>0</v>
      </c>
      <c r="W318" s="128">
        <f t="shared" si="71"/>
        <v>0</v>
      </c>
      <c r="X318" s="128">
        <f t="shared" si="72"/>
        <v>0</v>
      </c>
      <c r="Y318" s="128">
        <f t="shared" si="73"/>
        <v>0</v>
      </c>
      <c r="Z318" s="195">
        <f t="shared" si="74"/>
        <v>0</v>
      </c>
      <c r="AA318" s="194">
        <f t="shared" si="75"/>
        <v>0</v>
      </c>
    </row>
    <row r="319" spans="1:27" ht="15" customHeight="1">
      <c r="A319" s="23"/>
      <c r="B319" s="465" t="s">
        <v>67</v>
      </c>
      <c r="C319" s="466"/>
      <c r="D319" s="466"/>
      <c r="E319" s="466"/>
      <c r="F319" s="467"/>
      <c r="G319" s="463">
        <v>15000</v>
      </c>
      <c r="H319" s="464"/>
      <c r="I319" s="26">
        <v>0</v>
      </c>
      <c r="J319" s="26">
        <v>0</v>
      </c>
      <c r="K319" s="26">
        <v>0</v>
      </c>
      <c r="L319" s="26">
        <v>0</v>
      </c>
      <c r="M319" s="26">
        <v>0</v>
      </c>
      <c r="N319" s="26">
        <v>0</v>
      </c>
      <c r="O319" s="26">
        <v>0</v>
      </c>
      <c r="P319" s="26">
        <v>0</v>
      </c>
      <c r="Q319" s="26">
        <v>0</v>
      </c>
      <c r="R319" s="26">
        <v>0</v>
      </c>
      <c r="S319" s="26">
        <v>0</v>
      </c>
      <c r="T319" s="70">
        <v>0</v>
      </c>
      <c r="U319" s="71">
        <f t="shared" si="69"/>
        <v>0</v>
      </c>
      <c r="V319" s="128">
        <f t="shared" si="70"/>
        <v>0</v>
      </c>
      <c r="W319" s="128">
        <f t="shared" si="71"/>
        <v>0</v>
      </c>
      <c r="X319" s="128">
        <f t="shared" si="72"/>
        <v>0</v>
      </c>
      <c r="Y319" s="128">
        <f t="shared" si="73"/>
        <v>0</v>
      </c>
      <c r="Z319" s="195">
        <f t="shared" si="74"/>
        <v>0</v>
      </c>
      <c r="AA319" s="194">
        <f t="shared" si="75"/>
        <v>0</v>
      </c>
    </row>
    <row r="320" spans="1:27" ht="15" customHeight="1">
      <c r="A320" s="23"/>
      <c r="B320" s="465" t="s">
        <v>93</v>
      </c>
      <c r="C320" s="466"/>
      <c r="D320" s="466"/>
      <c r="E320" s="466"/>
      <c r="F320" s="467"/>
      <c r="G320" s="463">
        <v>12000</v>
      </c>
      <c r="H320" s="464"/>
      <c r="I320" s="26">
        <v>0</v>
      </c>
      <c r="J320" s="26">
        <v>0</v>
      </c>
      <c r="K320" s="26">
        <v>0</v>
      </c>
      <c r="L320" s="26">
        <v>0</v>
      </c>
      <c r="M320" s="26">
        <v>0</v>
      </c>
      <c r="N320" s="26">
        <v>0</v>
      </c>
      <c r="O320" s="26">
        <v>0</v>
      </c>
      <c r="P320" s="26">
        <v>0</v>
      </c>
      <c r="Q320" s="26">
        <v>0</v>
      </c>
      <c r="R320" s="26">
        <v>0</v>
      </c>
      <c r="S320" s="26">
        <v>0</v>
      </c>
      <c r="T320" s="70">
        <v>0</v>
      </c>
      <c r="U320" s="71">
        <f t="shared" si="69"/>
        <v>0</v>
      </c>
      <c r="V320" s="128">
        <f t="shared" si="70"/>
        <v>0</v>
      </c>
      <c r="W320" s="128">
        <f t="shared" si="71"/>
        <v>0</v>
      </c>
      <c r="X320" s="128">
        <f t="shared" si="72"/>
        <v>0</v>
      </c>
      <c r="Y320" s="128">
        <f t="shared" si="73"/>
        <v>0</v>
      </c>
      <c r="Z320" s="195">
        <f t="shared" si="74"/>
        <v>0</v>
      </c>
      <c r="AA320" s="194">
        <f t="shared" si="75"/>
        <v>0</v>
      </c>
    </row>
    <row r="321" spans="1:27" ht="15" customHeight="1">
      <c r="A321" s="23"/>
      <c r="B321" s="465" t="s">
        <v>69</v>
      </c>
      <c r="C321" s="466"/>
      <c r="D321" s="466"/>
      <c r="E321" s="466"/>
      <c r="F321" s="467"/>
      <c r="G321" s="463">
        <v>4400</v>
      </c>
      <c r="H321" s="464"/>
      <c r="I321" s="26">
        <v>0</v>
      </c>
      <c r="J321" s="26">
        <v>0</v>
      </c>
      <c r="K321" s="26">
        <v>0</v>
      </c>
      <c r="L321" s="26">
        <v>0</v>
      </c>
      <c r="M321" s="26">
        <v>0</v>
      </c>
      <c r="N321" s="26">
        <v>0</v>
      </c>
      <c r="O321" s="26">
        <v>0</v>
      </c>
      <c r="P321" s="26">
        <v>0</v>
      </c>
      <c r="Q321" s="26">
        <v>0</v>
      </c>
      <c r="R321" s="26">
        <v>0</v>
      </c>
      <c r="S321" s="26">
        <v>0</v>
      </c>
      <c r="T321" s="70">
        <v>0</v>
      </c>
      <c r="U321" s="71">
        <f t="shared" si="69"/>
        <v>0</v>
      </c>
      <c r="V321" s="128">
        <f t="shared" si="70"/>
        <v>0</v>
      </c>
      <c r="W321" s="128">
        <f t="shared" si="71"/>
        <v>0</v>
      </c>
      <c r="X321" s="128">
        <f t="shared" si="72"/>
        <v>0</v>
      </c>
      <c r="Y321" s="128">
        <f t="shared" si="73"/>
        <v>0</v>
      </c>
      <c r="Z321" s="195">
        <f t="shared" si="74"/>
        <v>0</v>
      </c>
      <c r="AA321" s="194">
        <f t="shared" si="75"/>
        <v>0</v>
      </c>
    </row>
    <row r="322" spans="1:27" ht="15" customHeight="1">
      <c r="A322" s="23"/>
      <c r="B322" s="465" t="s">
        <v>94</v>
      </c>
      <c r="C322" s="466"/>
      <c r="D322" s="466"/>
      <c r="E322" s="466"/>
      <c r="F322" s="467"/>
      <c r="G322" s="463">
        <v>3200</v>
      </c>
      <c r="H322" s="464"/>
      <c r="I322" s="26">
        <v>0</v>
      </c>
      <c r="J322" s="26">
        <v>0</v>
      </c>
      <c r="K322" s="26">
        <v>0</v>
      </c>
      <c r="L322" s="26">
        <v>0</v>
      </c>
      <c r="M322" s="26">
        <v>0</v>
      </c>
      <c r="N322" s="26">
        <v>0</v>
      </c>
      <c r="O322" s="26">
        <v>0</v>
      </c>
      <c r="P322" s="26">
        <v>0</v>
      </c>
      <c r="Q322" s="26">
        <v>0</v>
      </c>
      <c r="R322" s="26">
        <v>0</v>
      </c>
      <c r="S322" s="26">
        <v>0</v>
      </c>
      <c r="T322" s="70">
        <v>0</v>
      </c>
      <c r="U322" s="71">
        <f t="shared" si="69"/>
        <v>0</v>
      </c>
      <c r="V322" s="128">
        <f t="shared" si="70"/>
        <v>0</v>
      </c>
      <c r="W322" s="128">
        <f t="shared" si="71"/>
        <v>0</v>
      </c>
      <c r="X322" s="128">
        <f t="shared" si="72"/>
        <v>0</v>
      </c>
      <c r="Y322" s="128">
        <f t="shared" si="73"/>
        <v>0</v>
      </c>
      <c r="Z322" s="195">
        <f t="shared" si="74"/>
        <v>0</v>
      </c>
      <c r="AA322" s="194">
        <f t="shared" si="75"/>
        <v>0</v>
      </c>
    </row>
    <row r="323" spans="1:27" ht="15.75" thickBot="1">
      <c r="A323" s="23"/>
      <c r="B323" s="469"/>
      <c r="C323" s="297"/>
      <c r="D323" s="297"/>
      <c r="E323" s="297"/>
      <c r="F323" s="470"/>
      <c r="G323" s="456"/>
      <c r="H323" s="468"/>
      <c r="I323" s="55"/>
      <c r="J323" s="55"/>
      <c r="K323" s="55"/>
      <c r="L323" s="55"/>
      <c r="M323" s="55"/>
      <c r="N323" s="55"/>
      <c r="O323" s="55"/>
      <c r="P323" s="55"/>
      <c r="Q323" s="55"/>
      <c r="R323" s="55"/>
      <c r="S323" s="55"/>
      <c r="T323" s="76"/>
      <c r="U323" s="77"/>
    </row>
    <row r="324" spans="1:27" ht="15.75" thickBot="1">
      <c r="A324" s="23"/>
      <c r="B324" s="257" t="s">
        <v>21</v>
      </c>
      <c r="C324" s="258"/>
      <c r="D324" s="258"/>
      <c r="E324" s="258"/>
      <c r="F324" s="259"/>
      <c r="G324" s="260">
        <f>SUM(G315:H323)</f>
        <v>104428</v>
      </c>
      <c r="H324" s="261"/>
      <c r="I324" s="29">
        <f>SUM(I315:I323)</f>
        <v>12328</v>
      </c>
      <c r="J324" s="29"/>
      <c r="K324" s="29"/>
      <c r="L324" s="29">
        <f>SUM(L315:L323)</f>
        <v>0</v>
      </c>
      <c r="M324" s="29"/>
      <c r="N324" s="29"/>
      <c r="O324" s="29">
        <f>SUM(O315:O323)</f>
        <v>12328</v>
      </c>
      <c r="P324" s="29"/>
      <c r="Q324" s="29"/>
      <c r="R324" s="29">
        <f>SUM(R315:R323)</f>
        <v>0</v>
      </c>
      <c r="S324" s="30"/>
      <c r="T324" s="73"/>
      <c r="U324" s="71">
        <f t="shared" ref="U324" si="76">R324/G324</f>
        <v>0</v>
      </c>
    </row>
    <row r="325" spans="1:27" ht="15.75" thickBot="1">
      <c r="C325" s="32"/>
      <c r="I325" s="33"/>
      <c r="L325" s="33"/>
      <c r="N325" s="33"/>
      <c r="O325" s="128"/>
      <c r="U325" s="33"/>
    </row>
    <row r="326" spans="1:27" ht="15.75" thickBot="1">
      <c r="B326" s="262" t="s">
        <v>31</v>
      </c>
      <c r="C326" s="263"/>
      <c r="D326" s="263"/>
      <c r="E326" s="263"/>
      <c r="F326" s="263"/>
      <c r="G326" s="263"/>
      <c r="H326" s="263"/>
      <c r="I326" s="263"/>
      <c r="J326" s="263"/>
      <c r="K326" s="263"/>
      <c r="L326" s="263"/>
      <c r="M326" s="263"/>
      <c r="N326" s="263"/>
      <c r="O326" s="263"/>
      <c r="P326" s="263"/>
      <c r="Q326" s="263"/>
      <c r="R326" s="263"/>
      <c r="S326" s="263"/>
      <c r="T326" s="263"/>
      <c r="U326" s="263"/>
      <c r="V326" s="34"/>
    </row>
    <row r="327" spans="1:27" ht="15" customHeight="1" thickBot="1">
      <c r="B327" s="264"/>
      <c r="C327" s="265"/>
      <c r="D327" s="267" t="s">
        <v>15</v>
      </c>
      <c r="E327" s="268"/>
      <c r="F327" s="268"/>
      <c r="G327" s="268"/>
      <c r="H327" s="268"/>
      <c r="I327" s="269"/>
      <c r="J327" s="267" t="s">
        <v>32</v>
      </c>
      <c r="K327" s="268"/>
      <c r="L327" s="268"/>
      <c r="M327" s="268"/>
      <c r="N327" s="268"/>
      <c r="O327" s="269"/>
      <c r="P327" s="267" t="s">
        <v>17</v>
      </c>
      <c r="Q327" s="268"/>
      <c r="R327" s="268"/>
      <c r="S327" s="268"/>
      <c r="T327" s="268"/>
      <c r="U327" s="35"/>
    </row>
    <row r="328" spans="1:27" ht="15.75" customHeight="1" thickBot="1">
      <c r="B328" s="219"/>
      <c r="C328" s="266"/>
      <c r="D328" s="270" t="s">
        <v>26</v>
      </c>
      <c r="E328" s="271"/>
      <c r="F328" s="272" t="s">
        <v>27</v>
      </c>
      <c r="G328" s="273"/>
      <c r="H328" s="268" t="s">
        <v>28</v>
      </c>
      <c r="I328" s="269"/>
      <c r="J328" s="272" t="s">
        <v>26</v>
      </c>
      <c r="K328" s="273"/>
      <c r="L328" s="272" t="s">
        <v>27</v>
      </c>
      <c r="M328" s="273"/>
      <c r="N328" s="268" t="s">
        <v>28</v>
      </c>
      <c r="O328" s="269"/>
      <c r="P328" s="272" t="s">
        <v>26</v>
      </c>
      <c r="Q328" s="273"/>
      <c r="R328" s="272" t="s">
        <v>27</v>
      </c>
      <c r="S328" s="273"/>
      <c r="T328" s="268" t="s">
        <v>28</v>
      </c>
      <c r="U328" s="269"/>
    </row>
    <row r="329" spans="1:27" ht="30" customHeight="1">
      <c r="A329" s="23"/>
      <c r="B329" s="250" t="s">
        <v>33</v>
      </c>
      <c r="C329" s="251"/>
      <c r="D329" s="252">
        <v>675408</v>
      </c>
      <c r="E329" s="253"/>
      <c r="F329" s="252">
        <v>0</v>
      </c>
      <c r="G329" s="253"/>
      <c r="H329" s="252">
        <v>0</v>
      </c>
      <c r="I329" s="253"/>
      <c r="J329" s="254">
        <v>23419.61</v>
      </c>
      <c r="K329" s="255"/>
      <c r="L329" s="240">
        <v>0</v>
      </c>
      <c r="M329" s="253"/>
      <c r="N329" s="240">
        <v>0</v>
      </c>
      <c r="O329" s="256"/>
      <c r="P329" s="254">
        <f>23416.71+27887.03+23419.61</f>
        <v>74723.350000000006</v>
      </c>
      <c r="Q329" s="255"/>
      <c r="R329" s="240">
        <v>0</v>
      </c>
      <c r="S329" s="253"/>
      <c r="T329" s="240">
        <v>0</v>
      </c>
      <c r="U329" s="241"/>
    </row>
    <row r="330" spans="1:27" ht="30" customHeight="1" thickBot="1">
      <c r="A330" s="4"/>
      <c r="B330" s="242" t="s">
        <v>34</v>
      </c>
      <c r="C330" s="243"/>
      <c r="D330" s="244">
        <v>104428</v>
      </c>
      <c r="E330" s="245"/>
      <c r="F330" s="244">
        <v>0</v>
      </c>
      <c r="G330" s="245"/>
      <c r="H330" s="244">
        <v>0</v>
      </c>
      <c r="I330" s="245"/>
      <c r="J330" s="244">
        <v>0</v>
      </c>
      <c r="K330" s="245"/>
      <c r="L330" s="246">
        <v>0</v>
      </c>
      <c r="M330" s="245"/>
      <c r="N330" s="246">
        <v>0</v>
      </c>
      <c r="O330" s="247"/>
      <c r="P330" s="248">
        <v>0</v>
      </c>
      <c r="Q330" s="249"/>
      <c r="R330" s="246">
        <v>0</v>
      </c>
      <c r="S330" s="245"/>
      <c r="T330" s="246">
        <v>0</v>
      </c>
      <c r="U330" s="247"/>
    </row>
    <row r="331" spans="1:27" ht="15.75" thickBot="1">
      <c r="A331" s="23"/>
      <c r="B331" s="233" t="s">
        <v>21</v>
      </c>
      <c r="C331" s="234"/>
      <c r="D331" s="235">
        <f>SUM(D329:E330)</f>
        <v>779836</v>
      </c>
      <c r="E331" s="236"/>
      <c r="F331" s="235">
        <f>SUM(F329:G330)</f>
        <v>0</v>
      </c>
      <c r="G331" s="236"/>
      <c r="H331" s="235">
        <f>SUM(H329:I330)</f>
        <v>0</v>
      </c>
      <c r="I331" s="236"/>
      <c r="J331" s="237">
        <f>SUM(J329:K330)</f>
        <v>23419.61</v>
      </c>
      <c r="K331" s="238"/>
      <c r="L331" s="215">
        <f>SUM(L329:M330)</f>
        <v>0</v>
      </c>
      <c r="M331" s="238"/>
      <c r="N331" s="236">
        <f>SUM(N329:O330)</f>
        <v>0</v>
      </c>
      <c r="O331" s="236"/>
      <c r="P331" s="237">
        <f>SUM(P329:Q330)</f>
        <v>74723.350000000006</v>
      </c>
      <c r="Q331" s="239"/>
      <c r="R331" s="215">
        <f>SUM(R329:S330)</f>
        <v>0</v>
      </c>
      <c r="S331" s="238"/>
      <c r="T331" s="215">
        <f>SUM(T329:U330)</f>
        <v>0</v>
      </c>
      <c r="U331" s="216"/>
    </row>
    <row r="332" spans="1:27">
      <c r="A332" s="23"/>
      <c r="B332" s="60"/>
      <c r="C332" s="60"/>
      <c r="D332" s="60"/>
      <c r="E332" s="60"/>
      <c r="F332" s="57"/>
      <c r="G332" s="57"/>
      <c r="H332" s="62"/>
      <c r="I332" s="62"/>
      <c r="J332" s="57"/>
      <c r="K332" s="57"/>
      <c r="L332" s="57"/>
      <c r="M332" s="62"/>
      <c r="N332" s="57"/>
      <c r="O332" s="62"/>
      <c r="P332" s="62"/>
      <c r="Q332" s="57"/>
      <c r="R332" s="23"/>
      <c r="S332" s="23"/>
      <c r="T332" s="23"/>
      <c r="U332" s="23"/>
    </row>
    <row r="333" spans="1:27" ht="15.75" thickBot="1">
      <c r="A333" s="23"/>
      <c r="B333" s="60"/>
      <c r="C333" s="60"/>
      <c r="D333" s="60"/>
      <c r="E333" s="60"/>
      <c r="F333" s="57"/>
      <c r="G333" s="57"/>
      <c r="H333" s="57"/>
      <c r="I333" s="57"/>
      <c r="J333" s="57"/>
      <c r="K333" s="57"/>
      <c r="L333" s="57"/>
      <c r="M333" s="57"/>
      <c r="N333" s="57"/>
      <c r="O333" s="57"/>
      <c r="P333" s="57"/>
      <c r="Q333" s="57"/>
      <c r="R333" s="23"/>
      <c r="S333" s="23"/>
      <c r="T333" s="23"/>
      <c r="U333" s="23"/>
    </row>
    <row r="334" spans="1:27" ht="15.75" thickBot="1">
      <c r="B334" s="217" t="s">
        <v>35</v>
      </c>
      <c r="C334" s="218"/>
      <c r="D334" s="218"/>
      <c r="E334" s="219"/>
      <c r="F334" s="205"/>
      <c r="G334" s="205"/>
      <c r="H334" s="205"/>
      <c r="I334" s="205"/>
      <c r="J334" s="205"/>
      <c r="K334" s="205"/>
      <c r="L334" s="205"/>
      <c r="M334" s="205"/>
      <c r="N334" s="205"/>
      <c r="O334" s="205"/>
      <c r="P334" s="205"/>
      <c r="Q334" s="205"/>
      <c r="R334" s="205"/>
      <c r="S334" s="205"/>
      <c r="T334" s="205"/>
      <c r="U334" s="205"/>
    </row>
    <row r="335" spans="1:27">
      <c r="B335" s="444"/>
      <c r="C335" s="445"/>
      <c r="D335" s="445"/>
      <c r="E335" s="445"/>
      <c r="F335" s="445"/>
      <c r="G335" s="445"/>
      <c r="H335" s="445"/>
      <c r="I335" s="445"/>
      <c r="J335" s="445"/>
      <c r="K335" s="445"/>
      <c r="L335" s="445"/>
      <c r="M335" s="445"/>
      <c r="N335" s="445"/>
      <c r="O335" s="445"/>
      <c r="P335" s="445"/>
      <c r="Q335" s="445"/>
      <c r="R335" s="445"/>
      <c r="S335" s="445"/>
      <c r="T335" s="445"/>
      <c r="U335" s="446"/>
    </row>
    <row r="336" spans="1:27">
      <c r="B336" s="447"/>
      <c r="C336" s="448"/>
      <c r="D336" s="448"/>
      <c r="E336" s="448"/>
      <c r="F336" s="448"/>
      <c r="G336" s="448"/>
      <c r="H336" s="448"/>
      <c r="I336" s="448"/>
      <c r="J336" s="448"/>
      <c r="K336" s="448"/>
      <c r="L336" s="448"/>
      <c r="M336" s="448"/>
      <c r="N336" s="448"/>
      <c r="O336" s="448"/>
      <c r="P336" s="448"/>
      <c r="Q336" s="448"/>
      <c r="R336" s="448"/>
      <c r="S336" s="448"/>
      <c r="T336" s="448"/>
      <c r="U336" s="449"/>
    </row>
    <row r="337" spans="2:21">
      <c r="B337" s="447"/>
      <c r="C337" s="448"/>
      <c r="D337" s="448"/>
      <c r="E337" s="448"/>
      <c r="F337" s="448"/>
      <c r="G337" s="448"/>
      <c r="H337" s="448"/>
      <c r="I337" s="448"/>
      <c r="J337" s="448"/>
      <c r="K337" s="448"/>
      <c r="L337" s="448"/>
      <c r="M337" s="448"/>
      <c r="N337" s="448"/>
      <c r="O337" s="448"/>
      <c r="P337" s="448"/>
      <c r="Q337" s="448"/>
      <c r="R337" s="448"/>
      <c r="S337" s="448"/>
      <c r="T337" s="448"/>
      <c r="U337" s="449"/>
    </row>
    <row r="338" spans="2:21">
      <c r="B338" s="447"/>
      <c r="C338" s="448"/>
      <c r="D338" s="448"/>
      <c r="E338" s="448"/>
      <c r="F338" s="448"/>
      <c r="G338" s="448"/>
      <c r="H338" s="448"/>
      <c r="I338" s="448"/>
      <c r="J338" s="448"/>
      <c r="K338" s="448"/>
      <c r="L338" s="448"/>
      <c r="M338" s="448"/>
      <c r="N338" s="448"/>
      <c r="O338" s="448"/>
      <c r="P338" s="448"/>
      <c r="Q338" s="448"/>
      <c r="R338" s="448"/>
      <c r="S338" s="448"/>
      <c r="T338" s="448"/>
      <c r="U338" s="449"/>
    </row>
    <row r="339" spans="2:21">
      <c r="B339" s="447"/>
      <c r="C339" s="448"/>
      <c r="D339" s="448"/>
      <c r="E339" s="448"/>
      <c r="F339" s="448"/>
      <c r="G339" s="448"/>
      <c r="H339" s="448"/>
      <c r="I339" s="448"/>
      <c r="J339" s="448"/>
      <c r="K339" s="448"/>
      <c r="L339" s="448"/>
      <c r="M339" s="448"/>
      <c r="N339" s="448"/>
      <c r="O339" s="448"/>
      <c r="P339" s="448"/>
      <c r="Q339" s="448"/>
      <c r="R339" s="448"/>
      <c r="S339" s="448"/>
      <c r="T339" s="448"/>
      <c r="U339" s="449"/>
    </row>
    <row r="340" spans="2:21">
      <c r="B340" s="447"/>
      <c r="C340" s="448"/>
      <c r="D340" s="448"/>
      <c r="E340" s="448"/>
      <c r="F340" s="448"/>
      <c r="G340" s="448"/>
      <c r="H340" s="448"/>
      <c r="I340" s="448"/>
      <c r="J340" s="448"/>
      <c r="K340" s="448"/>
      <c r="L340" s="448"/>
      <c r="M340" s="448"/>
      <c r="N340" s="448"/>
      <c r="O340" s="448"/>
      <c r="P340" s="448"/>
      <c r="Q340" s="448"/>
      <c r="R340" s="448"/>
      <c r="S340" s="448"/>
      <c r="T340" s="448"/>
      <c r="U340" s="449"/>
    </row>
    <row r="341" spans="2:21" ht="15.75" thickBot="1">
      <c r="B341" s="450"/>
      <c r="C341" s="451"/>
      <c r="D341" s="451"/>
      <c r="E341" s="451"/>
      <c r="F341" s="451"/>
      <c r="G341" s="451"/>
      <c r="H341" s="451"/>
      <c r="I341" s="451"/>
      <c r="J341" s="451"/>
      <c r="K341" s="451"/>
      <c r="L341" s="451"/>
      <c r="M341" s="451"/>
      <c r="N341" s="451"/>
      <c r="O341" s="451"/>
      <c r="P341" s="451"/>
      <c r="Q341" s="451"/>
      <c r="R341" s="451"/>
      <c r="S341" s="451"/>
      <c r="T341" s="451"/>
      <c r="U341" s="452"/>
    </row>
    <row r="342" spans="2:21">
      <c r="B342" s="23"/>
    </row>
    <row r="343" spans="2:21">
      <c r="H343" s="40"/>
      <c r="I343" s="40"/>
      <c r="O343" s="40"/>
      <c r="Q343" s="40"/>
    </row>
    <row r="344" spans="2:21">
      <c r="B344" s="220" t="s">
        <v>38</v>
      </c>
      <c r="C344" s="220"/>
      <c r="D344" s="220"/>
      <c r="E344" s="220"/>
      <c r="F344" s="220"/>
      <c r="G344" s="220"/>
      <c r="I344" s="41"/>
      <c r="J344" s="213" t="s">
        <v>36</v>
      </c>
      <c r="K344" s="213"/>
      <c r="L344" s="213"/>
      <c r="M344" s="213"/>
      <c r="N344" s="213"/>
      <c r="O344" s="213"/>
      <c r="R344" s="213" t="s">
        <v>37</v>
      </c>
      <c r="S344" s="213"/>
      <c r="T344" s="213"/>
      <c r="U344" s="213"/>
    </row>
    <row r="345" spans="2:21">
      <c r="B345" s="220"/>
      <c r="C345" s="220"/>
      <c r="D345" s="220"/>
      <c r="E345" s="220"/>
      <c r="F345" s="220"/>
      <c r="G345" s="220"/>
      <c r="H345" s="42"/>
      <c r="I345" s="42"/>
      <c r="J345" s="221"/>
      <c r="K345" s="221"/>
      <c r="L345" s="221"/>
      <c r="M345" s="221"/>
      <c r="N345" s="221"/>
      <c r="O345" s="221"/>
      <c r="P345" s="42"/>
      <c r="Q345" s="42"/>
      <c r="R345" s="210" t="s">
        <v>0</v>
      </c>
      <c r="S345" s="210"/>
      <c r="T345" s="210"/>
      <c r="U345" s="210"/>
    </row>
    <row r="346" spans="2:21">
      <c r="B346" s="220"/>
      <c r="C346" s="220"/>
      <c r="D346" s="220"/>
      <c r="E346" s="220"/>
      <c r="F346" s="220"/>
      <c r="G346" s="220"/>
      <c r="H346" s="167"/>
      <c r="I346" s="167"/>
      <c r="J346" s="221"/>
      <c r="K346" s="221"/>
      <c r="L346" s="221"/>
      <c r="M346" s="221"/>
      <c r="N346" s="221"/>
      <c r="O346" s="221"/>
      <c r="P346" s="167"/>
      <c r="Q346" s="167"/>
      <c r="R346" s="210"/>
      <c r="S346" s="210"/>
      <c r="T346" s="210"/>
      <c r="U346" s="210"/>
    </row>
    <row r="347" spans="2:21">
      <c r="B347" s="220"/>
      <c r="C347" s="220"/>
      <c r="D347" s="220"/>
      <c r="E347" s="220"/>
      <c r="F347" s="220"/>
      <c r="G347" s="220"/>
      <c r="H347" s="167"/>
      <c r="I347" s="167"/>
      <c r="J347" s="221"/>
      <c r="K347" s="221"/>
      <c r="L347" s="221"/>
      <c r="M347" s="221"/>
      <c r="N347" s="221"/>
      <c r="O347" s="221"/>
      <c r="P347" s="167"/>
      <c r="Q347" s="167"/>
      <c r="R347" s="210"/>
      <c r="S347" s="210"/>
      <c r="T347" s="210"/>
      <c r="U347" s="210"/>
    </row>
    <row r="348" spans="2:21">
      <c r="B348" s="220"/>
      <c r="C348" s="220"/>
      <c r="D348" s="220"/>
      <c r="E348" s="220"/>
      <c r="F348" s="220"/>
      <c r="G348" s="220"/>
      <c r="H348" s="167"/>
      <c r="I348" s="167"/>
      <c r="J348" s="221"/>
      <c r="K348" s="221"/>
      <c r="L348" s="221"/>
      <c r="M348" s="221"/>
      <c r="N348" s="221"/>
      <c r="O348" s="221"/>
      <c r="P348" s="167"/>
      <c r="Q348" s="167"/>
      <c r="R348" s="210"/>
      <c r="S348" s="210"/>
      <c r="T348" s="210"/>
      <c r="U348" s="210"/>
    </row>
    <row r="349" spans="2:21" ht="15.75" thickBot="1">
      <c r="B349" s="223"/>
      <c r="C349" s="223"/>
      <c r="D349" s="223"/>
      <c r="E349" s="223"/>
      <c r="F349" s="223"/>
      <c r="G349" s="223"/>
      <c r="J349" s="222"/>
      <c r="K349" s="222"/>
      <c r="L349" s="222"/>
      <c r="M349" s="222"/>
      <c r="N349" s="222"/>
      <c r="O349" s="222"/>
      <c r="R349" s="205"/>
      <c r="S349" s="205"/>
      <c r="T349" s="205"/>
      <c r="U349" s="205"/>
    </row>
    <row r="350" spans="2:21">
      <c r="B350" s="210" t="s">
        <v>101</v>
      </c>
      <c r="C350" s="210"/>
      <c r="D350" s="210"/>
      <c r="E350" s="210"/>
      <c r="F350" s="210"/>
      <c r="G350" s="210"/>
      <c r="J350" s="204" t="s">
        <v>102</v>
      </c>
      <c r="K350" s="204"/>
      <c r="L350" s="204"/>
      <c r="M350" s="204"/>
      <c r="N350" s="204"/>
      <c r="O350" s="204"/>
      <c r="R350" s="211" t="s">
        <v>136</v>
      </c>
      <c r="S350" s="211"/>
      <c r="T350" s="211"/>
      <c r="U350" s="211"/>
    </row>
    <row r="351" spans="2:21">
      <c r="B351" s="204" t="s">
        <v>103</v>
      </c>
      <c r="C351" s="204"/>
      <c r="D351" s="204"/>
      <c r="E351" s="204"/>
      <c r="F351" s="204"/>
      <c r="G351" s="204"/>
      <c r="J351" s="212" t="s">
        <v>104</v>
      </c>
      <c r="K351" s="212"/>
      <c r="L351" s="212"/>
      <c r="M351" s="212"/>
      <c r="N351" s="212"/>
      <c r="O351" s="212"/>
      <c r="P351" s="118"/>
      <c r="Q351" s="118"/>
      <c r="R351" s="212" t="s">
        <v>105</v>
      </c>
      <c r="S351" s="212"/>
      <c r="T351" s="212"/>
      <c r="U351" s="212"/>
    </row>
    <row r="353" spans="2:21">
      <c r="J353" s="213" t="s">
        <v>50</v>
      </c>
      <c r="K353" s="213"/>
      <c r="L353" s="213"/>
      <c r="M353" s="213"/>
      <c r="N353" s="213"/>
      <c r="O353" s="213"/>
    </row>
    <row r="354" spans="2:21">
      <c r="C354" s="214" t="s">
        <v>157</v>
      </c>
      <c r="D354" s="214"/>
      <c r="E354" s="214"/>
      <c r="F354" s="214"/>
      <c r="J354" s="206" t="s">
        <v>48</v>
      </c>
      <c r="K354" s="206"/>
      <c r="L354" s="206"/>
      <c r="M354" s="206"/>
      <c r="N354" s="206"/>
      <c r="O354" s="206"/>
      <c r="R354" s="206" t="s">
        <v>51</v>
      </c>
      <c r="S354" s="206"/>
      <c r="T354" s="206"/>
      <c r="U354" s="206"/>
    </row>
    <row r="355" spans="2:21">
      <c r="B355" s="204"/>
      <c r="C355" s="204"/>
      <c r="D355" s="204"/>
      <c r="E355" s="204"/>
      <c r="F355" s="204"/>
      <c r="G355" s="204"/>
      <c r="J355" s="206"/>
      <c r="K355" s="206"/>
      <c r="L355" s="206"/>
      <c r="M355" s="206"/>
      <c r="N355" s="206"/>
      <c r="O355" s="206"/>
      <c r="R355" s="204"/>
      <c r="S355" s="204"/>
      <c r="T355" s="204"/>
      <c r="U355" s="204"/>
    </row>
    <row r="356" spans="2:21">
      <c r="B356" s="204"/>
      <c r="C356" s="204"/>
      <c r="D356" s="204"/>
      <c r="E356" s="204"/>
      <c r="F356" s="204"/>
      <c r="G356" s="204"/>
      <c r="J356" s="206"/>
      <c r="K356" s="206"/>
      <c r="L356" s="206"/>
      <c r="M356" s="206"/>
      <c r="N356" s="206"/>
      <c r="O356" s="206"/>
      <c r="R356" s="204"/>
      <c r="S356" s="204"/>
      <c r="T356" s="204"/>
      <c r="U356" s="204"/>
    </row>
    <row r="357" spans="2:21">
      <c r="B357" s="204"/>
      <c r="C357" s="204"/>
      <c r="D357" s="204"/>
      <c r="E357" s="204"/>
      <c r="F357" s="204"/>
      <c r="G357" s="204"/>
      <c r="J357" s="206"/>
      <c r="K357" s="206"/>
      <c r="L357" s="206"/>
      <c r="M357" s="206"/>
      <c r="N357" s="206"/>
      <c r="O357" s="206"/>
      <c r="R357" s="204"/>
      <c r="S357" s="204"/>
      <c r="T357" s="204"/>
      <c r="U357" s="204"/>
    </row>
    <row r="358" spans="2:21" ht="15.75" thickBot="1">
      <c r="B358" s="205"/>
      <c r="C358" s="205"/>
      <c r="D358" s="205"/>
      <c r="E358" s="205"/>
      <c r="F358" s="205"/>
      <c r="G358" s="205"/>
      <c r="H358" s="51"/>
      <c r="I358" s="51"/>
      <c r="J358" s="207"/>
      <c r="K358" s="207"/>
      <c r="L358" s="207"/>
      <c r="M358" s="207"/>
      <c r="N358" s="207"/>
      <c r="O358" s="207"/>
      <c r="P358" s="51"/>
      <c r="Q358" s="51"/>
      <c r="R358" s="205"/>
      <c r="S358" s="205"/>
      <c r="T358" s="205"/>
      <c r="U358" s="205"/>
    </row>
    <row r="359" spans="2:21">
      <c r="B359" s="208" t="s">
        <v>106</v>
      </c>
      <c r="C359" s="208"/>
      <c r="D359" s="208"/>
      <c r="E359" s="208"/>
      <c r="F359" s="208"/>
      <c r="G359" s="208"/>
      <c r="H359" s="119"/>
      <c r="I359" s="119"/>
      <c r="J359" s="208" t="s">
        <v>107</v>
      </c>
      <c r="K359" s="208"/>
      <c r="L359" s="208"/>
      <c r="M359" s="208"/>
      <c r="N359" s="208"/>
      <c r="O359" s="208"/>
      <c r="P359" s="51"/>
      <c r="Q359" s="51"/>
      <c r="R359" s="208" t="s">
        <v>108</v>
      </c>
      <c r="S359" s="208"/>
      <c r="T359" s="208"/>
      <c r="U359" s="208"/>
    </row>
    <row r="360" spans="2:21" ht="32.25" customHeight="1">
      <c r="B360" s="209" t="s">
        <v>109</v>
      </c>
      <c r="C360" s="209"/>
      <c r="D360" s="209"/>
      <c r="E360" s="209"/>
      <c r="F360" s="209"/>
      <c r="G360" s="209"/>
      <c r="J360" s="209" t="s">
        <v>110</v>
      </c>
      <c r="K360" s="209"/>
      <c r="L360" s="209"/>
      <c r="M360" s="209"/>
      <c r="N360" s="209"/>
      <c r="O360" s="209"/>
      <c r="R360" s="209" t="s">
        <v>111</v>
      </c>
      <c r="S360" s="209"/>
      <c r="T360" s="209"/>
      <c r="U360" s="209"/>
    </row>
    <row r="362" spans="2:21" ht="23.25">
      <c r="B362" s="492" t="s">
        <v>74</v>
      </c>
      <c r="C362" s="492"/>
      <c r="D362" s="492"/>
      <c r="E362" s="492"/>
      <c r="F362" s="492"/>
      <c r="G362" s="492"/>
      <c r="H362" s="492"/>
      <c r="I362" s="492"/>
      <c r="J362" s="492"/>
      <c r="K362" s="492"/>
      <c r="L362" s="492"/>
      <c r="M362" s="492"/>
      <c r="N362" s="492"/>
      <c r="O362" s="492"/>
      <c r="P362" s="492"/>
      <c r="Q362" s="492"/>
      <c r="R362" s="492"/>
      <c r="S362" s="492"/>
      <c r="T362" s="492"/>
      <c r="U362" s="492"/>
    </row>
    <row r="364" spans="2:21">
      <c r="L364" t="s">
        <v>0</v>
      </c>
    </row>
    <row r="365" spans="2:21" ht="15" customHeight="1"/>
    <row r="366" spans="2:21" ht="15" customHeight="1">
      <c r="F366" s="1"/>
      <c r="G366" s="1"/>
      <c r="H366" s="1"/>
      <c r="I366" s="1"/>
      <c r="J366" s="1"/>
      <c r="K366" s="1"/>
      <c r="L366" s="1"/>
      <c r="M366" s="1"/>
      <c r="N366" s="1"/>
      <c r="O366" s="1"/>
    </row>
    <row r="367" spans="2:21" ht="15" customHeight="1">
      <c r="B367" s="427" t="s">
        <v>125</v>
      </c>
      <c r="C367" s="427"/>
      <c r="D367" s="427"/>
      <c r="E367" s="427"/>
      <c r="F367" s="427"/>
      <c r="G367" s="427"/>
      <c r="H367" s="427"/>
      <c r="I367" s="427"/>
      <c r="J367" s="427"/>
      <c r="K367" s="427"/>
      <c r="L367" s="427"/>
      <c r="M367" s="427"/>
      <c r="N367" s="427"/>
      <c r="O367" s="427"/>
      <c r="P367" s="427"/>
      <c r="Q367" s="427"/>
      <c r="R367" s="427"/>
      <c r="S367" s="427"/>
      <c r="T367" s="427"/>
      <c r="U367" s="427"/>
    </row>
    <row r="368" spans="2:21" ht="15" customHeight="1">
      <c r="F368" t="s">
        <v>0</v>
      </c>
    </row>
    <row r="369" spans="1:27" ht="15" customHeight="1">
      <c r="B369" s="2"/>
      <c r="C369" s="2"/>
      <c r="D369" s="2"/>
      <c r="E369" s="2"/>
      <c r="F369" s="2"/>
      <c r="G369" s="2"/>
      <c r="H369" s="2"/>
      <c r="I369" s="2"/>
      <c r="J369" s="2"/>
      <c r="K369" s="2"/>
      <c r="L369" s="2"/>
      <c r="M369" s="2"/>
      <c r="N369" s="2"/>
      <c r="O369" s="2"/>
      <c r="P369" s="2"/>
      <c r="Q369" s="2"/>
      <c r="R369" s="2"/>
      <c r="S369" s="2"/>
      <c r="T369" s="2"/>
      <c r="U369" s="2"/>
    </row>
    <row r="370" spans="1:27" ht="15" customHeight="1" thickBot="1">
      <c r="B370" s="3"/>
      <c r="C370" s="3"/>
      <c r="D370" s="3"/>
      <c r="E370" s="3"/>
      <c r="F370" s="3"/>
      <c r="G370" s="3"/>
      <c r="H370" s="3"/>
      <c r="I370" s="3"/>
      <c r="J370" s="3"/>
      <c r="K370" s="3"/>
      <c r="L370" s="3"/>
      <c r="M370" s="3"/>
      <c r="N370" s="3"/>
      <c r="O370" s="3"/>
      <c r="P370" s="3"/>
      <c r="Q370" s="3"/>
      <c r="R370" s="3"/>
      <c r="S370" s="3"/>
      <c r="T370" s="3"/>
      <c r="U370" s="3"/>
    </row>
    <row r="371" spans="1:27" ht="15" customHeight="1">
      <c r="B371" s="385" t="s">
        <v>1</v>
      </c>
      <c r="C371" s="386"/>
      <c r="D371" s="386"/>
      <c r="E371" s="386"/>
      <c r="F371" s="387"/>
      <c r="G371" s="428" t="s">
        <v>164</v>
      </c>
      <c r="H371" s="429"/>
      <c r="I371" s="429"/>
      <c r="J371" s="429"/>
      <c r="K371" s="429"/>
      <c r="L371" s="429"/>
      <c r="M371" s="429"/>
      <c r="N371" s="429"/>
      <c r="O371" s="429"/>
      <c r="P371" s="429"/>
      <c r="Q371" s="429"/>
      <c r="R371" s="429"/>
      <c r="S371" s="429"/>
      <c r="T371" s="429"/>
      <c r="U371" s="430"/>
    </row>
    <row r="372" spans="1:27" ht="15" customHeight="1">
      <c r="A372" s="4"/>
      <c r="B372" s="431" t="s">
        <v>2</v>
      </c>
      <c r="C372" s="432"/>
      <c r="D372" s="432"/>
      <c r="E372" s="432"/>
      <c r="F372" s="433"/>
      <c r="G372" s="434" t="s">
        <v>163</v>
      </c>
      <c r="H372" s="435"/>
      <c r="I372" s="435"/>
      <c r="J372" s="435"/>
      <c r="K372" s="435"/>
      <c r="L372" s="435"/>
      <c r="M372" s="435"/>
      <c r="N372" s="435"/>
      <c r="O372" s="435"/>
      <c r="P372" s="435"/>
      <c r="Q372" s="435"/>
      <c r="R372" s="435"/>
      <c r="S372" s="435"/>
      <c r="T372" s="435"/>
      <c r="U372" s="436"/>
    </row>
    <row r="373" spans="1:27" ht="15" customHeight="1">
      <c r="A373" s="4"/>
      <c r="B373" s="385" t="s">
        <v>3</v>
      </c>
      <c r="C373" s="386"/>
      <c r="D373" s="386"/>
      <c r="E373" s="386"/>
      <c r="F373" s="387"/>
      <c r="G373" s="437" t="s">
        <v>156</v>
      </c>
      <c r="H373" s="438"/>
      <c r="I373" s="438"/>
      <c r="J373" s="438"/>
      <c r="K373" s="438"/>
      <c r="L373" s="438"/>
      <c r="M373" s="438"/>
      <c r="N373" s="438"/>
      <c r="O373" s="438"/>
      <c r="P373" s="438"/>
      <c r="Q373" s="438"/>
      <c r="R373" s="438"/>
      <c r="S373" s="438"/>
      <c r="T373" s="438"/>
      <c r="U373" s="439"/>
    </row>
    <row r="374" spans="1:27" ht="15" customHeight="1">
      <c r="A374" s="4"/>
      <c r="B374" s="385" t="s">
        <v>4</v>
      </c>
      <c r="C374" s="386"/>
      <c r="D374" s="386"/>
      <c r="E374" s="386"/>
      <c r="F374" s="387"/>
      <c r="G374" s="440" t="s">
        <v>165</v>
      </c>
      <c r="H374" s="441"/>
      <c r="I374" s="441"/>
      <c r="J374" s="441"/>
      <c r="K374" s="441"/>
      <c r="L374" s="441"/>
      <c r="M374" s="441"/>
      <c r="N374" s="441"/>
      <c r="O374" s="441"/>
      <c r="P374" s="441"/>
      <c r="Q374" s="441"/>
      <c r="R374" s="441"/>
      <c r="S374" s="441"/>
      <c r="T374" s="441"/>
      <c r="U374" s="442"/>
    </row>
    <row r="375" spans="1:27" ht="15" customHeight="1">
      <c r="A375" s="4"/>
      <c r="B375" s="385" t="s">
        <v>5</v>
      </c>
      <c r="C375" s="386"/>
      <c r="D375" s="386"/>
      <c r="E375" s="386"/>
      <c r="F375" s="387"/>
      <c r="G375" s="410" t="s">
        <v>6</v>
      </c>
      <c r="H375" s="411"/>
      <c r="I375" s="412">
        <v>779836</v>
      </c>
      <c r="J375" s="413"/>
      <c r="K375" s="413"/>
      <c r="L375" s="414"/>
      <c r="M375" s="5" t="s">
        <v>7</v>
      </c>
      <c r="N375" s="412">
        <v>0</v>
      </c>
      <c r="O375" s="413"/>
      <c r="P375" s="413"/>
      <c r="Q375" s="414"/>
      <c r="R375" s="415" t="s">
        <v>8</v>
      </c>
      <c r="S375" s="416"/>
      <c r="T375" s="412">
        <v>0</v>
      </c>
      <c r="U375" s="417"/>
    </row>
    <row r="376" spans="1:27">
      <c r="A376" s="4"/>
      <c r="B376" s="385" t="s">
        <v>9</v>
      </c>
      <c r="C376" s="386"/>
      <c r="D376" s="386"/>
      <c r="E376" s="386"/>
      <c r="F376" s="387"/>
      <c r="G376" s="418" t="s">
        <v>6</v>
      </c>
      <c r="H376" s="419"/>
      <c r="I376" s="412">
        <v>0</v>
      </c>
      <c r="J376" s="413"/>
      <c r="K376" s="413"/>
      <c r="L376" s="414"/>
      <c r="M376" s="5" t="s">
        <v>7</v>
      </c>
      <c r="N376" s="420">
        <v>0</v>
      </c>
      <c r="O376" s="421"/>
      <c r="P376" s="421"/>
      <c r="Q376" s="422"/>
      <c r="R376" s="423"/>
      <c r="S376" s="424"/>
      <c r="T376" s="424"/>
      <c r="U376" s="425"/>
    </row>
    <row r="377" spans="1:27" ht="15.75" thickBot="1">
      <c r="A377" s="4"/>
      <c r="B377" s="385" t="s">
        <v>10</v>
      </c>
      <c r="C377" s="386"/>
      <c r="D377" s="386"/>
      <c r="E377" s="386"/>
      <c r="F377" s="387"/>
      <c r="G377" s="460" t="s">
        <v>75</v>
      </c>
      <c r="H377" s="461"/>
      <c r="I377" s="461"/>
      <c r="J377" s="461"/>
      <c r="K377" s="461"/>
      <c r="L377" s="461"/>
      <c r="M377" s="461"/>
      <c r="N377" s="461"/>
      <c r="O377" s="461"/>
      <c r="P377" s="461"/>
      <c r="Q377" s="461"/>
      <c r="R377" s="461"/>
      <c r="S377" s="461"/>
      <c r="T377" s="461"/>
      <c r="U377" s="462"/>
    </row>
    <row r="378" spans="1:27" ht="15.75" customHeight="1" thickBot="1">
      <c r="A378" s="4"/>
      <c r="B378" s="391" t="s">
        <v>11</v>
      </c>
      <c r="C378" s="392"/>
      <c r="D378" s="392"/>
      <c r="E378" s="392"/>
      <c r="F378" s="393"/>
      <c r="G378" s="394" t="s">
        <v>118</v>
      </c>
      <c r="H378" s="395"/>
      <c r="I378" s="395"/>
      <c r="J378" s="395"/>
      <c r="K378" s="395"/>
      <c r="L378" s="395"/>
      <c r="M378" s="395"/>
      <c r="N378" s="395"/>
      <c r="O378" s="395"/>
      <c r="P378" s="395"/>
      <c r="Q378" s="395"/>
      <c r="R378" s="395"/>
      <c r="S378" s="395"/>
      <c r="T378" s="395"/>
      <c r="U378" s="396"/>
    </row>
    <row r="379" spans="1:27" ht="15.75" thickBot="1">
      <c r="B379" s="397"/>
      <c r="C379" s="397"/>
      <c r="D379" s="397"/>
      <c r="E379" s="397"/>
      <c r="F379" s="397"/>
      <c r="G379" s="397"/>
      <c r="H379" s="397"/>
      <c r="I379" s="397"/>
      <c r="J379" s="397"/>
      <c r="K379" s="397"/>
      <c r="L379" s="397"/>
      <c r="M379" s="397"/>
      <c r="N379" s="397"/>
      <c r="O379" s="397"/>
      <c r="P379" s="397"/>
      <c r="Q379" s="397"/>
      <c r="R379" s="397"/>
      <c r="S379" s="397"/>
      <c r="T379" s="397"/>
      <c r="U379" s="397"/>
    </row>
    <row r="380" spans="1:27" ht="16.5" thickBot="1">
      <c r="A380" s="4"/>
      <c r="B380" s="306" t="s">
        <v>12</v>
      </c>
      <c r="C380" s="307"/>
      <c r="D380" s="308"/>
      <c r="E380" s="307" t="s">
        <v>13</v>
      </c>
      <c r="F380" s="308"/>
      <c r="G380" s="312" t="s">
        <v>14</v>
      </c>
      <c r="H380" s="313"/>
      <c r="I380" s="313"/>
      <c r="J380" s="313"/>
      <c r="K380" s="313"/>
      <c r="L380" s="313"/>
      <c r="M380" s="313"/>
      <c r="N380" s="313"/>
      <c r="O380" s="313"/>
      <c r="P380" s="313"/>
      <c r="Q380" s="313"/>
      <c r="R380" s="313"/>
      <c r="S380" s="313"/>
      <c r="T380" s="313"/>
      <c r="U380" s="314"/>
    </row>
    <row r="381" spans="1:27" ht="15.75" thickBot="1">
      <c r="A381" s="4"/>
      <c r="B381" s="309"/>
      <c r="C381" s="310"/>
      <c r="D381" s="311"/>
      <c r="E381" s="310"/>
      <c r="F381" s="311"/>
      <c r="G381" s="315" t="s">
        <v>15</v>
      </c>
      <c r="H381" s="316"/>
      <c r="I381" s="267" t="s">
        <v>16</v>
      </c>
      <c r="J381" s="268"/>
      <c r="K381" s="268"/>
      <c r="L381" s="268"/>
      <c r="M381" s="268"/>
      <c r="N381" s="269"/>
      <c r="O381" s="403" t="s">
        <v>17</v>
      </c>
      <c r="P381" s="404"/>
      <c r="Q381" s="404"/>
      <c r="R381" s="404"/>
      <c r="S381" s="404"/>
      <c r="T381" s="404"/>
      <c r="U381" s="405"/>
    </row>
    <row r="382" spans="1:27">
      <c r="A382" s="4"/>
      <c r="B382" s="309"/>
      <c r="C382" s="310"/>
      <c r="D382" s="311"/>
      <c r="E382" s="310"/>
      <c r="F382" s="311"/>
      <c r="G382" s="317"/>
      <c r="H382" s="318"/>
      <c r="I382" s="315" t="s">
        <v>18</v>
      </c>
      <c r="J382" s="406"/>
      <c r="K382" s="406"/>
      <c r="L382" s="315" t="s">
        <v>19</v>
      </c>
      <c r="M382" s="406"/>
      <c r="N382" s="316"/>
      <c r="O382" s="408" t="s">
        <v>18</v>
      </c>
      <c r="P382" s="409"/>
      <c r="Q382" s="409"/>
      <c r="R382" s="315" t="s">
        <v>19</v>
      </c>
      <c r="S382" s="406"/>
      <c r="T382" s="406"/>
      <c r="U382" s="326" t="s">
        <v>20</v>
      </c>
      <c r="V382" s="200" t="s">
        <v>153</v>
      </c>
      <c r="W382" s="201"/>
      <c r="X382" s="200" t="s">
        <v>154</v>
      </c>
      <c r="Y382" s="201"/>
      <c r="Z382" s="200" t="s">
        <v>155</v>
      </c>
      <c r="AA382" s="201"/>
    </row>
    <row r="383" spans="1:27" ht="15.75" thickBot="1">
      <c r="A383" s="4"/>
      <c r="B383" s="398"/>
      <c r="C383" s="399"/>
      <c r="D383" s="400"/>
      <c r="E383" s="399"/>
      <c r="F383" s="400"/>
      <c r="G383" s="401"/>
      <c r="H383" s="402"/>
      <c r="I383" s="401"/>
      <c r="J383" s="407"/>
      <c r="K383" s="407"/>
      <c r="L383" s="401"/>
      <c r="M383" s="407"/>
      <c r="N383" s="402"/>
      <c r="O383" s="401"/>
      <c r="P383" s="407"/>
      <c r="Q383" s="407"/>
      <c r="R383" s="401"/>
      <c r="S383" s="407"/>
      <c r="T383" s="407"/>
      <c r="U383" s="327"/>
      <c r="V383" s="202"/>
      <c r="W383" s="203"/>
      <c r="X383" s="202"/>
      <c r="Y383" s="203"/>
      <c r="Z383" s="202"/>
      <c r="AA383" s="203"/>
    </row>
    <row r="384" spans="1:27">
      <c r="A384" s="4"/>
      <c r="B384" s="372" t="s">
        <v>59</v>
      </c>
      <c r="C384" s="373"/>
      <c r="D384" s="374"/>
      <c r="E384" s="375"/>
      <c r="F384" s="376"/>
      <c r="G384" s="377"/>
      <c r="H384" s="378"/>
      <c r="I384" s="379"/>
      <c r="J384" s="380"/>
      <c r="K384" s="378"/>
      <c r="L384" s="381"/>
      <c r="M384" s="380"/>
      <c r="N384" s="382"/>
      <c r="O384" s="383"/>
      <c r="P384" s="384"/>
      <c r="Q384" s="384"/>
      <c r="R384" s="384"/>
      <c r="S384" s="384"/>
      <c r="T384" s="384"/>
      <c r="U384" s="53"/>
    </row>
    <row r="385" spans="1:27">
      <c r="A385" s="4"/>
      <c r="B385" s="354" t="s">
        <v>76</v>
      </c>
      <c r="C385" s="362"/>
      <c r="D385" s="363"/>
      <c r="E385" s="364"/>
      <c r="F385" s="365"/>
      <c r="G385" s="366"/>
      <c r="H385" s="367"/>
      <c r="I385" s="371"/>
      <c r="J385" s="370"/>
      <c r="K385" s="370"/>
      <c r="L385" s="370"/>
      <c r="M385" s="370"/>
      <c r="N385" s="365"/>
      <c r="O385" s="371"/>
      <c r="P385" s="370"/>
      <c r="Q385" s="370"/>
      <c r="R385" s="370"/>
      <c r="S385" s="370"/>
      <c r="T385" s="370"/>
      <c r="U385" s="56"/>
    </row>
    <row r="386" spans="1:27">
      <c r="A386" s="4"/>
      <c r="B386" s="328" t="s">
        <v>56</v>
      </c>
      <c r="C386" s="329"/>
      <c r="D386" s="330"/>
      <c r="E386" s="331" t="s">
        <v>58</v>
      </c>
      <c r="F386" s="332"/>
      <c r="G386" s="348">
        <v>170</v>
      </c>
      <c r="H386" s="359"/>
      <c r="I386" s="350">
        <v>0</v>
      </c>
      <c r="J386" s="351"/>
      <c r="K386" s="349"/>
      <c r="L386" s="350">
        <v>0</v>
      </c>
      <c r="M386" s="351"/>
      <c r="N386" s="352"/>
      <c r="O386" s="353">
        <v>170</v>
      </c>
      <c r="P386" s="351"/>
      <c r="Q386" s="349"/>
      <c r="R386" s="350">
        <v>170</v>
      </c>
      <c r="S386" s="351"/>
      <c r="T386" s="349"/>
      <c r="U386" s="6">
        <f t="shared" ref="U386" si="77">R386/G386</f>
        <v>1</v>
      </c>
      <c r="V386" s="193">
        <f>+I386+O266</f>
        <v>170</v>
      </c>
      <c r="W386" s="193">
        <f>+O386-V386</f>
        <v>0</v>
      </c>
      <c r="X386" s="193">
        <f>+L386+R266</f>
        <v>170</v>
      </c>
      <c r="Y386" s="193">
        <f>+R386-X386</f>
        <v>0</v>
      </c>
      <c r="Z386" s="195">
        <f>+X386/G386</f>
        <v>1</v>
      </c>
      <c r="AA386" s="194">
        <f>+U386-Z386</f>
        <v>0</v>
      </c>
    </row>
    <row r="387" spans="1:27">
      <c r="A387" s="4"/>
      <c r="B387" s="328" t="s">
        <v>57</v>
      </c>
      <c r="C387" s="329"/>
      <c r="D387" s="330"/>
      <c r="E387" s="331" t="s">
        <v>58</v>
      </c>
      <c r="F387" s="332"/>
      <c r="G387" s="348">
        <v>4405</v>
      </c>
      <c r="H387" s="349"/>
      <c r="I387" s="350">
        <v>417</v>
      </c>
      <c r="J387" s="351"/>
      <c r="K387" s="349"/>
      <c r="L387" s="350">
        <v>420</v>
      </c>
      <c r="M387" s="351"/>
      <c r="N387" s="352"/>
      <c r="O387" s="353">
        <f>340+340+340+417</f>
        <v>1437</v>
      </c>
      <c r="P387" s="351"/>
      <c r="Q387" s="349"/>
      <c r="R387" s="350">
        <f>339+339+338+420</f>
        <v>1436</v>
      </c>
      <c r="S387" s="351"/>
      <c r="T387" s="349"/>
      <c r="U387" s="54">
        <f>R387/G387</f>
        <v>0.32599318955732121</v>
      </c>
      <c r="V387" s="193">
        <f>+I387+O267</f>
        <v>1437</v>
      </c>
      <c r="W387" s="193">
        <f>+O387-V387</f>
        <v>0</v>
      </c>
      <c r="X387" s="193">
        <f>+L387+R267</f>
        <v>1436</v>
      </c>
      <c r="Y387" s="193">
        <f>+R387-X387</f>
        <v>0</v>
      </c>
      <c r="Z387" s="195">
        <f>+X387/G387</f>
        <v>0.32599318955732121</v>
      </c>
      <c r="AA387" s="194">
        <f>+U387-Z387</f>
        <v>0</v>
      </c>
    </row>
    <row r="388" spans="1:27" ht="15" customHeight="1">
      <c r="A388" s="4"/>
      <c r="B388" s="354" t="s">
        <v>77</v>
      </c>
      <c r="C388" s="362"/>
      <c r="D388" s="363"/>
      <c r="E388" s="364"/>
      <c r="F388" s="365"/>
      <c r="G388" s="366"/>
      <c r="H388" s="367"/>
      <c r="I388" s="371"/>
      <c r="J388" s="370"/>
      <c r="K388" s="370"/>
      <c r="L388" s="370"/>
      <c r="M388" s="370"/>
      <c r="N388" s="365"/>
      <c r="O388" s="371"/>
      <c r="P388" s="370"/>
      <c r="Q388" s="370"/>
      <c r="R388" s="370"/>
      <c r="S388" s="370"/>
      <c r="T388" s="370"/>
      <c r="U388" s="56"/>
      <c r="V388" s="193"/>
      <c r="W388" s="193"/>
      <c r="X388" s="193"/>
      <c r="Y388" s="193"/>
      <c r="Z388" s="195"/>
      <c r="AA388" s="194"/>
    </row>
    <row r="389" spans="1:27">
      <c r="A389" s="4"/>
      <c r="B389" s="328" t="s">
        <v>56</v>
      </c>
      <c r="C389" s="329"/>
      <c r="D389" s="330"/>
      <c r="E389" s="331" t="s">
        <v>58</v>
      </c>
      <c r="F389" s="332"/>
      <c r="G389" s="348">
        <v>35</v>
      </c>
      <c r="H389" s="359"/>
      <c r="I389" s="350">
        <v>0</v>
      </c>
      <c r="J389" s="351"/>
      <c r="K389" s="349"/>
      <c r="L389" s="350">
        <v>0</v>
      </c>
      <c r="M389" s="351"/>
      <c r="N389" s="352"/>
      <c r="O389" s="353">
        <v>35</v>
      </c>
      <c r="P389" s="351"/>
      <c r="Q389" s="349"/>
      <c r="R389" s="350">
        <v>35</v>
      </c>
      <c r="S389" s="351"/>
      <c r="T389" s="349"/>
      <c r="U389" s="6">
        <f t="shared" ref="U389" si="78">R389/G389</f>
        <v>1</v>
      </c>
      <c r="V389" s="193">
        <f t="shared" ref="V389:V390" si="79">+I389+O269</f>
        <v>35</v>
      </c>
      <c r="W389" s="193">
        <f t="shared" ref="W389:W390" si="80">+O389-V389</f>
        <v>0</v>
      </c>
      <c r="X389" s="193">
        <f t="shared" ref="X389:X390" si="81">+L389+R269</f>
        <v>35</v>
      </c>
      <c r="Y389" s="193">
        <f t="shared" ref="Y389:Y390" si="82">+R389-X389</f>
        <v>0</v>
      </c>
      <c r="Z389" s="195">
        <f t="shared" ref="Z389:Z390" si="83">+X389/G389</f>
        <v>1</v>
      </c>
      <c r="AA389" s="194">
        <f t="shared" ref="AA389:AA390" si="84">+U389-Z389</f>
        <v>0</v>
      </c>
    </row>
    <row r="390" spans="1:27">
      <c r="A390" s="4"/>
      <c r="B390" s="328" t="s">
        <v>57</v>
      </c>
      <c r="C390" s="329"/>
      <c r="D390" s="330"/>
      <c r="E390" s="331" t="s">
        <v>58</v>
      </c>
      <c r="F390" s="332"/>
      <c r="G390" s="348">
        <v>907</v>
      </c>
      <c r="H390" s="349"/>
      <c r="I390" s="360">
        <v>88</v>
      </c>
      <c r="J390" s="341"/>
      <c r="K390" s="361"/>
      <c r="L390" s="350">
        <v>88</v>
      </c>
      <c r="M390" s="351"/>
      <c r="N390" s="352"/>
      <c r="O390" s="353">
        <f>70+70+70+88</f>
        <v>298</v>
      </c>
      <c r="P390" s="351"/>
      <c r="Q390" s="349"/>
      <c r="R390" s="350">
        <f>70+70+70+88</f>
        <v>298</v>
      </c>
      <c r="S390" s="351"/>
      <c r="T390" s="349"/>
      <c r="U390" s="54">
        <f>R390/G390</f>
        <v>0.32855567805953695</v>
      </c>
      <c r="V390" s="193">
        <f t="shared" si="79"/>
        <v>298</v>
      </c>
      <c r="W390" s="193">
        <f t="shared" si="80"/>
        <v>0</v>
      </c>
      <c r="X390" s="193">
        <f t="shared" si="81"/>
        <v>298</v>
      </c>
      <c r="Y390" s="193">
        <f t="shared" si="82"/>
        <v>0</v>
      </c>
      <c r="Z390" s="195">
        <f t="shared" si="83"/>
        <v>0.32855567805953695</v>
      </c>
      <c r="AA390" s="194">
        <f t="shared" si="84"/>
        <v>0</v>
      </c>
    </row>
    <row r="391" spans="1:27" ht="15" customHeight="1">
      <c r="A391" s="4"/>
      <c r="B391" s="354" t="s">
        <v>78</v>
      </c>
      <c r="C391" s="362"/>
      <c r="D391" s="363"/>
      <c r="E391" s="364"/>
      <c r="F391" s="365"/>
      <c r="G391" s="366"/>
      <c r="H391" s="367"/>
      <c r="I391" s="368"/>
      <c r="J391" s="369"/>
      <c r="K391" s="369"/>
      <c r="L391" s="370"/>
      <c r="M391" s="370"/>
      <c r="N391" s="365"/>
      <c r="O391" s="371"/>
      <c r="P391" s="370"/>
      <c r="Q391" s="370"/>
      <c r="R391" s="370"/>
      <c r="S391" s="370"/>
      <c r="T391" s="370"/>
      <c r="U391" s="56"/>
      <c r="V391" s="193"/>
      <c r="W391" s="193"/>
      <c r="X391" s="193"/>
      <c r="Y391" s="193"/>
      <c r="Z391" s="195"/>
      <c r="AA391" s="194"/>
    </row>
    <row r="392" spans="1:27">
      <c r="A392" s="4"/>
      <c r="B392" s="328" t="s">
        <v>56</v>
      </c>
      <c r="C392" s="329"/>
      <c r="D392" s="330"/>
      <c r="E392" s="331" t="s">
        <v>58</v>
      </c>
      <c r="F392" s="332"/>
      <c r="G392" s="348">
        <v>35</v>
      </c>
      <c r="H392" s="359"/>
      <c r="I392" s="360">
        <v>0</v>
      </c>
      <c r="J392" s="341"/>
      <c r="K392" s="361"/>
      <c r="L392" s="350">
        <v>0</v>
      </c>
      <c r="M392" s="351"/>
      <c r="N392" s="352"/>
      <c r="O392" s="353">
        <v>35</v>
      </c>
      <c r="P392" s="351"/>
      <c r="Q392" s="349"/>
      <c r="R392" s="350">
        <v>35</v>
      </c>
      <c r="S392" s="351"/>
      <c r="T392" s="349"/>
      <c r="U392" s="6">
        <f t="shared" ref="U392" si="85">R392/G392</f>
        <v>1</v>
      </c>
      <c r="V392" s="193">
        <f t="shared" ref="V392:V393" si="86">+I392+O272</f>
        <v>35</v>
      </c>
      <c r="W392" s="193">
        <f t="shared" ref="W392:W393" si="87">+O392-V392</f>
        <v>0</v>
      </c>
      <c r="X392" s="193">
        <f t="shared" ref="X392:X393" si="88">+L392+R272</f>
        <v>35</v>
      </c>
      <c r="Y392" s="193">
        <f t="shared" ref="Y392:Y393" si="89">+R392-X392</f>
        <v>0</v>
      </c>
      <c r="Z392" s="195">
        <f t="shared" ref="Z392:Z393" si="90">+X392/G392</f>
        <v>1</v>
      </c>
      <c r="AA392" s="194">
        <f t="shared" ref="AA392:AA393" si="91">+U392-Z392</f>
        <v>0</v>
      </c>
    </row>
    <row r="393" spans="1:27">
      <c r="A393" s="4"/>
      <c r="B393" s="328" t="s">
        <v>57</v>
      </c>
      <c r="C393" s="329"/>
      <c r="D393" s="330"/>
      <c r="E393" s="331" t="s">
        <v>58</v>
      </c>
      <c r="F393" s="332"/>
      <c r="G393" s="348">
        <v>907</v>
      </c>
      <c r="H393" s="349"/>
      <c r="I393" s="360">
        <v>88</v>
      </c>
      <c r="J393" s="341"/>
      <c r="K393" s="361"/>
      <c r="L393" s="350">
        <v>88</v>
      </c>
      <c r="M393" s="351"/>
      <c r="N393" s="352"/>
      <c r="O393" s="353">
        <f>70+70+70+88</f>
        <v>298</v>
      </c>
      <c r="P393" s="351"/>
      <c r="Q393" s="349"/>
      <c r="R393" s="350">
        <f>70+70+70+88</f>
        <v>298</v>
      </c>
      <c r="S393" s="351"/>
      <c r="T393" s="349"/>
      <c r="U393" s="54">
        <f>R393/G393</f>
        <v>0.32855567805953695</v>
      </c>
      <c r="V393" s="193">
        <f t="shared" si="86"/>
        <v>298</v>
      </c>
      <c r="W393" s="193">
        <f t="shared" si="87"/>
        <v>0</v>
      </c>
      <c r="X393" s="193">
        <f t="shared" si="88"/>
        <v>298</v>
      </c>
      <c r="Y393" s="193">
        <f t="shared" si="89"/>
        <v>0</v>
      </c>
      <c r="Z393" s="195">
        <f t="shared" si="90"/>
        <v>0.32855567805953695</v>
      </c>
      <c r="AA393" s="194">
        <f t="shared" si="91"/>
        <v>0</v>
      </c>
    </row>
    <row r="394" spans="1:27" ht="15" customHeight="1">
      <c r="A394" s="4"/>
      <c r="B394" s="354" t="s">
        <v>79</v>
      </c>
      <c r="C394" s="362"/>
      <c r="D394" s="363"/>
      <c r="E394" s="364"/>
      <c r="F394" s="365"/>
      <c r="G394" s="366"/>
      <c r="H394" s="367"/>
      <c r="I394" s="368"/>
      <c r="J394" s="369"/>
      <c r="K394" s="369"/>
      <c r="L394" s="370"/>
      <c r="M394" s="370"/>
      <c r="N394" s="365"/>
      <c r="O394" s="371"/>
      <c r="P394" s="370"/>
      <c r="Q394" s="370"/>
      <c r="R394" s="370"/>
      <c r="S394" s="370"/>
      <c r="T394" s="370"/>
      <c r="U394" s="56"/>
      <c r="V394" s="193"/>
      <c r="W394" s="193"/>
      <c r="X394" s="193"/>
      <c r="Y394" s="193"/>
      <c r="Z394" s="195"/>
      <c r="AA394" s="194"/>
    </row>
    <row r="395" spans="1:27">
      <c r="A395" s="4"/>
      <c r="B395" s="328" t="s">
        <v>56</v>
      </c>
      <c r="C395" s="329"/>
      <c r="D395" s="330"/>
      <c r="E395" s="331" t="s">
        <v>58</v>
      </c>
      <c r="F395" s="332"/>
      <c r="G395" s="348">
        <v>96</v>
      </c>
      <c r="H395" s="359"/>
      <c r="I395" s="360">
        <v>96</v>
      </c>
      <c r="J395" s="341"/>
      <c r="K395" s="361"/>
      <c r="L395" s="350">
        <v>96</v>
      </c>
      <c r="M395" s="351"/>
      <c r="N395" s="352"/>
      <c r="O395" s="353">
        <v>96</v>
      </c>
      <c r="P395" s="351"/>
      <c r="Q395" s="349"/>
      <c r="R395" s="350">
        <v>96</v>
      </c>
      <c r="S395" s="351"/>
      <c r="T395" s="349"/>
      <c r="U395" s="54">
        <f t="shared" ref="U395" si="92">R395/G395</f>
        <v>1</v>
      </c>
      <c r="V395" s="193">
        <f t="shared" ref="V395:V396" si="93">+I395+O275</f>
        <v>96</v>
      </c>
      <c r="W395" s="193">
        <f t="shared" ref="W395:W396" si="94">+O395-V395</f>
        <v>0</v>
      </c>
      <c r="X395" s="193">
        <f t="shared" ref="X395:X396" si="95">+L395+R275</f>
        <v>96</v>
      </c>
      <c r="Y395" s="193">
        <f t="shared" ref="Y395:Y396" si="96">+R395-X395</f>
        <v>0</v>
      </c>
      <c r="Z395" s="195">
        <f t="shared" ref="Z395:Z396" si="97">+X395/G395</f>
        <v>1</v>
      </c>
      <c r="AA395" s="194">
        <f t="shared" ref="AA395:AA396" si="98">+U395-Z395</f>
        <v>0</v>
      </c>
    </row>
    <row r="396" spans="1:27">
      <c r="A396" s="4"/>
      <c r="B396" s="328" t="s">
        <v>57</v>
      </c>
      <c r="C396" s="329"/>
      <c r="D396" s="330"/>
      <c r="E396" s="331" t="s">
        <v>58</v>
      </c>
      <c r="F396" s="332"/>
      <c r="G396" s="348">
        <v>1440</v>
      </c>
      <c r="H396" s="349"/>
      <c r="I396" s="360">
        <v>126</v>
      </c>
      <c r="J396" s="341"/>
      <c r="K396" s="361"/>
      <c r="L396" s="350">
        <v>126</v>
      </c>
      <c r="M396" s="351"/>
      <c r="N396" s="352"/>
      <c r="O396" s="353">
        <f>126</f>
        <v>126</v>
      </c>
      <c r="P396" s="351"/>
      <c r="Q396" s="349"/>
      <c r="R396" s="350">
        <f>126</f>
        <v>126</v>
      </c>
      <c r="S396" s="351"/>
      <c r="T396" s="349"/>
      <c r="U396" s="54">
        <f>R396/G396</f>
        <v>8.7499999999999994E-2</v>
      </c>
      <c r="V396" s="193">
        <f t="shared" si="93"/>
        <v>126</v>
      </c>
      <c r="W396" s="193">
        <f t="shared" si="94"/>
        <v>0</v>
      </c>
      <c r="X396" s="193">
        <f t="shared" si="95"/>
        <v>126</v>
      </c>
      <c r="Y396" s="193">
        <f t="shared" si="96"/>
        <v>0</v>
      </c>
      <c r="Z396" s="195">
        <f t="shared" si="97"/>
        <v>8.7499999999999994E-2</v>
      </c>
      <c r="AA396" s="194">
        <f t="shared" si="98"/>
        <v>0</v>
      </c>
    </row>
    <row r="397" spans="1:27">
      <c r="A397" s="4"/>
      <c r="B397" s="354" t="s">
        <v>63</v>
      </c>
      <c r="C397" s="355"/>
      <c r="D397" s="356"/>
      <c r="E397" s="357"/>
      <c r="F397" s="358"/>
      <c r="G397" s="348"/>
      <c r="H397" s="349"/>
      <c r="I397" s="360"/>
      <c r="J397" s="341"/>
      <c r="K397" s="361"/>
      <c r="L397" s="353"/>
      <c r="M397" s="351"/>
      <c r="N397" s="352"/>
      <c r="O397" s="353"/>
      <c r="P397" s="351"/>
      <c r="Q397" s="351"/>
      <c r="R397" s="351"/>
      <c r="S397" s="351"/>
      <c r="T397" s="351"/>
      <c r="U397" s="6"/>
      <c r="V397" s="193"/>
      <c r="W397" s="193"/>
      <c r="X397" s="193"/>
      <c r="Y397" s="193"/>
      <c r="Z397" s="195"/>
      <c r="AA397" s="194"/>
    </row>
    <row r="398" spans="1:27">
      <c r="A398" s="4"/>
      <c r="B398" s="328" t="s">
        <v>60</v>
      </c>
      <c r="C398" s="329"/>
      <c r="D398" s="330"/>
      <c r="E398" s="331" t="s">
        <v>58</v>
      </c>
      <c r="F398" s="332"/>
      <c r="G398" s="348">
        <v>12</v>
      </c>
      <c r="H398" s="359"/>
      <c r="I398" s="350">
        <v>0</v>
      </c>
      <c r="J398" s="351"/>
      <c r="K398" s="349"/>
      <c r="L398" s="350">
        <v>0</v>
      </c>
      <c r="M398" s="351"/>
      <c r="N398" s="352"/>
      <c r="O398" s="353">
        <v>0</v>
      </c>
      <c r="P398" s="351"/>
      <c r="Q398" s="349"/>
      <c r="R398" s="350">
        <v>0</v>
      </c>
      <c r="S398" s="351"/>
      <c r="T398" s="349"/>
      <c r="U398" s="54">
        <f>R398/G398</f>
        <v>0</v>
      </c>
      <c r="V398" s="193">
        <f>+I398+O278</f>
        <v>0</v>
      </c>
      <c r="W398" s="193">
        <f>+O398-V398</f>
        <v>0</v>
      </c>
      <c r="X398" s="193">
        <f>+L398+R278</f>
        <v>0</v>
      </c>
      <c r="Y398" s="193">
        <f>+R398-X398</f>
        <v>0</v>
      </c>
      <c r="Z398" s="195">
        <f>+X398/G398</f>
        <v>0</v>
      </c>
      <c r="AA398" s="194">
        <f>+U398-Z398</f>
        <v>0</v>
      </c>
    </row>
    <row r="399" spans="1:27">
      <c r="A399" s="4"/>
      <c r="B399" s="354" t="s">
        <v>61</v>
      </c>
      <c r="C399" s="355"/>
      <c r="D399" s="356"/>
      <c r="E399" s="357"/>
      <c r="F399" s="358"/>
      <c r="G399" s="348"/>
      <c r="H399" s="349"/>
      <c r="I399" s="350"/>
      <c r="J399" s="351"/>
      <c r="K399" s="349"/>
      <c r="L399" s="353"/>
      <c r="M399" s="351"/>
      <c r="N399" s="352"/>
      <c r="O399" s="353"/>
      <c r="P399" s="351"/>
      <c r="Q399" s="351"/>
      <c r="R399" s="351"/>
      <c r="S399" s="351"/>
      <c r="T399" s="351"/>
      <c r="U399" s="6"/>
      <c r="V399" s="193"/>
      <c r="W399" s="193"/>
      <c r="X399" s="193"/>
      <c r="Y399" s="193"/>
      <c r="Z399" s="195"/>
      <c r="AA399" s="194"/>
    </row>
    <row r="400" spans="1:27" ht="15" customHeight="1">
      <c r="A400" s="4"/>
      <c r="B400" s="328" t="s">
        <v>61</v>
      </c>
      <c r="C400" s="329"/>
      <c r="D400" s="330"/>
      <c r="E400" s="331" t="s">
        <v>58</v>
      </c>
      <c r="F400" s="332"/>
      <c r="G400" s="348">
        <v>15</v>
      </c>
      <c r="H400" s="349"/>
      <c r="I400" s="350">
        <v>0</v>
      </c>
      <c r="J400" s="351"/>
      <c r="K400" s="349"/>
      <c r="L400" s="350">
        <v>0</v>
      </c>
      <c r="M400" s="351"/>
      <c r="N400" s="352"/>
      <c r="O400" s="353">
        <v>0</v>
      </c>
      <c r="P400" s="351"/>
      <c r="Q400" s="349"/>
      <c r="R400" s="350">
        <v>0</v>
      </c>
      <c r="S400" s="351"/>
      <c r="T400" s="349"/>
      <c r="U400" s="54">
        <f>R400/G400</f>
        <v>0</v>
      </c>
      <c r="V400" s="193">
        <f>+I400+O280</f>
        <v>0</v>
      </c>
      <c r="W400" s="193">
        <f>+O400-V400</f>
        <v>0</v>
      </c>
      <c r="X400" s="193">
        <f>+L400+R280</f>
        <v>0</v>
      </c>
      <c r="Y400" s="193">
        <f>+R400-X400</f>
        <v>0</v>
      </c>
      <c r="Z400" s="195">
        <f>+X400/G400</f>
        <v>0</v>
      </c>
      <c r="AA400" s="194">
        <f>+U400-Z400</f>
        <v>0</v>
      </c>
    </row>
    <row r="401" spans="1:27" ht="15" customHeight="1">
      <c r="A401" s="4"/>
      <c r="B401" s="354" t="s">
        <v>62</v>
      </c>
      <c r="C401" s="355"/>
      <c r="D401" s="356"/>
      <c r="E401" s="357"/>
      <c r="F401" s="358"/>
      <c r="G401" s="348"/>
      <c r="H401" s="349"/>
      <c r="I401" s="350"/>
      <c r="J401" s="351"/>
      <c r="K401" s="349"/>
      <c r="L401" s="353"/>
      <c r="M401" s="351"/>
      <c r="N401" s="352"/>
      <c r="O401" s="353"/>
      <c r="P401" s="351"/>
      <c r="Q401" s="351"/>
      <c r="R401" s="351"/>
      <c r="S401" s="351"/>
      <c r="T401" s="351"/>
      <c r="U401" s="6"/>
      <c r="V401" s="193"/>
      <c r="W401" s="193"/>
      <c r="X401" s="193"/>
      <c r="Y401" s="193"/>
      <c r="Z401" s="195"/>
      <c r="AA401" s="194"/>
    </row>
    <row r="402" spans="1:27" ht="15" customHeight="1" thickBot="1">
      <c r="A402" s="4"/>
      <c r="B402" s="328" t="s">
        <v>62</v>
      </c>
      <c r="C402" s="329"/>
      <c r="D402" s="330"/>
      <c r="E402" s="331" t="s">
        <v>58</v>
      </c>
      <c r="F402" s="332"/>
      <c r="G402" s="333">
        <v>1</v>
      </c>
      <c r="H402" s="334"/>
      <c r="I402" s="335">
        <v>0</v>
      </c>
      <c r="J402" s="336"/>
      <c r="K402" s="334"/>
      <c r="L402" s="458">
        <v>0</v>
      </c>
      <c r="M402" s="336"/>
      <c r="N402" s="459"/>
      <c r="O402" s="353">
        <v>0</v>
      </c>
      <c r="P402" s="351"/>
      <c r="Q402" s="351"/>
      <c r="R402" s="351">
        <v>0</v>
      </c>
      <c r="S402" s="351"/>
      <c r="T402" s="351"/>
      <c r="U402" s="54">
        <f>R402/G402</f>
        <v>0</v>
      </c>
      <c r="V402" s="193">
        <f>+I402+O282</f>
        <v>0</v>
      </c>
      <c r="W402" s="193">
        <f>+O402-V402</f>
        <v>0</v>
      </c>
      <c r="X402" s="193">
        <f>+L402+R282</f>
        <v>0</v>
      </c>
      <c r="Y402" s="193">
        <f>+R402-X402</f>
        <v>0</v>
      </c>
      <c r="Z402" s="195">
        <f>+X402/G402</f>
        <v>0</v>
      </c>
      <c r="AA402" s="194">
        <f>+U402-Z402</f>
        <v>0</v>
      </c>
    </row>
    <row r="403" spans="1:27" ht="15.75" thickBot="1">
      <c r="A403" s="4"/>
      <c r="B403" s="342" t="s">
        <v>21</v>
      </c>
      <c r="C403" s="343"/>
      <c r="D403" s="343"/>
      <c r="E403" s="343"/>
      <c r="F403" s="344"/>
      <c r="G403" s="345"/>
      <c r="H403" s="346"/>
      <c r="I403" s="346"/>
      <c r="J403" s="346"/>
      <c r="K403" s="346"/>
      <c r="L403" s="346"/>
      <c r="M403" s="346"/>
      <c r="N403" s="347"/>
      <c r="O403" s="345"/>
      <c r="P403" s="346"/>
      <c r="Q403" s="346"/>
      <c r="R403" s="346"/>
      <c r="S403" s="346"/>
      <c r="T403" s="346"/>
      <c r="U403" s="347"/>
    </row>
    <row r="404" spans="1:27" ht="15.75" thickBot="1">
      <c r="B404" s="7"/>
      <c r="C404" s="8"/>
      <c r="D404" s="9"/>
      <c r="E404" s="10"/>
      <c r="F404" s="11"/>
      <c r="G404" s="12"/>
      <c r="H404" s="13"/>
      <c r="I404" s="14"/>
      <c r="J404" s="14"/>
      <c r="K404" s="15"/>
      <c r="L404" s="14"/>
      <c r="M404" s="15"/>
      <c r="N404" s="14"/>
      <c r="O404" s="14"/>
      <c r="P404" s="14"/>
      <c r="Q404" s="14"/>
      <c r="R404" s="15"/>
      <c r="S404" s="14"/>
      <c r="T404" s="12"/>
      <c r="U404" s="14"/>
    </row>
    <row r="405" spans="1:27" ht="16.5" customHeight="1" thickBot="1">
      <c r="A405" s="4"/>
      <c r="B405" s="306" t="s">
        <v>22</v>
      </c>
      <c r="C405" s="307"/>
      <c r="D405" s="307"/>
      <c r="E405" s="307"/>
      <c r="F405" s="308"/>
      <c r="G405" s="312" t="s">
        <v>129</v>
      </c>
      <c r="H405" s="313"/>
      <c r="I405" s="313"/>
      <c r="J405" s="313"/>
      <c r="K405" s="313"/>
      <c r="L405" s="313"/>
      <c r="M405" s="313"/>
      <c r="N405" s="313"/>
      <c r="O405" s="313"/>
      <c r="P405" s="313"/>
      <c r="Q405" s="313"/>
      <c r="R405" s="313"/>
      <c r="S405" s="313"/>
      <c r="T405" s="313"/>
      <c r="U405" s="314"/>
    </row>
    <row r="406" spans="1:27" ht="15.75" thickBot="1">
      <c r="A406" s="4"/>
      <c r="B406" s="309"/>
      <c r="C406" s="310"/>
      <c r="D406" s="310"/>
      <c r="E406" s="310"/>
      <c r="F406" s="311"/>
      <c r="G406" s="315" t="s">
        <v>24</v>
      </c>
      <c r="H406" s="316"/>
      <c r="I406" s="310" t="s">
        <v>16</v>
      </c>
      <c r="J406" s="310"/>
      <c r="K406" s="310"/>
      <c r="L406" s="310"/>
      <c r="M406" s="310"/>
      <c r="N406" s="311"/>
      <c r="O406" s="321" t="s">
        <v>17</v>
      </c>
      <c r="P406" s="322"/>
      <c r="Q406" s="322"/>
      <c r="R406" s="322"/>
      <c r="S406" s="322"/>
      <c r="T406" s="322"/>
      <c r="U406" s="323"/>
    </row>
    <row r="407" spans="1:27" ht="15.75" customHeight="1" thickBot="1">
      <c r="A407" s="4"/>
      <c r="B407" s="309"/>
      <c r="C407" s="310"/>
      <c r="D407" s="310"/>
      <c r="E407" s="310"/>
      <c r="F407" s="311"/>
      <c r="G407" s="317"/>
      <c r="H407" s="318"/>
      <c r="I407" s="267" t="s">
        <v>18</v>
      </c>
      <c r="J407" s="268"/>
      <c r="K407" s="269"/>
      <c r="L407" s="267" t="s">
        <v>25</v>
      </c>
      <c r="M407" s="268"/>
      <c r="N407" s="269"/>
      <c r="O407" s="267" t="s">
        <v>18</v>
      </c>
      <c r="P407" s="268"/>
      <c r="Q407" s="324"/>
      <c r="R407" s="325" t="s">
        <v>25</v>
      </c>
      <c r="S407" s="268"/>
      <c r="T407" s="269"/>
      <c r="U407" s="326" t="s">
        <v>20</v>
      </c>
      <c r="V407" s="200" t="s">
        <v>153</v>
      </c>
      <c r="W407" s="201"/>
      <c r="X407" s="200" t="s">
        <v>154</v>
      </c>
      <c r="Y407" s="201"/>
      <c r="Z407" s="200" t="s">
        <v>155</v>
      </c>
      <c r="AA407" s="201"/>
    </row>
    <row r="408" spans="1:27" ht="25.5" customHeight="1" thickBot="1">
      <c r="A408" s="4"/>
      <c r="B408" s="309"/>
      <c r="C408" s="310"/>
      <c r="D408" s="310"/>
      <c r="E408" s="310"/>
      <c r="F408" s="311"/>
      <c r="G408" s="319"/>
      <c r="H408" s="320"/>
      <c r="I408" s="60" t="s">
        <v>26</v>
      </c>
      <c r="J408" s="58" t="s">
        <v>27</v>
      </c>
      <c r="K408" s="58" t="s">
        <v>28</v>
      </c>
      <c r="L408" s="60" t="s">
        <v>26</v>
      </c>
      <c r="M408" s="58" t="s">
        <v>27</v>
      </c>
      <c r="N408" s="61" t="s">
        <v>28</v>
      </c>
      <c r="O408" s="19" t="s">
        <v>26</v>
      </c>
      <c r="P408" s="60" t="s">
        <v>27</v>
      </c>
      <c r="Q408" s="20" t="s">
        <v>28</v>
      </c>
      <c r="R408" s="21" t="s">
        <v>26</v>
      </c>
      <c r="S408" s="59" t="s">
        <v>27</v>
      </c>
      <c r="T408" s="58" t="s">
        <v>28</v>
      </c>
      <c r="U408" s="327"/>
      <c r="V408" s="202"/>
      <c r="W408" s="203"/>
      <c r="X408" s="202"/>
      <c r="Y408" s="203"/>
      <c r="Z408" s="202"/>
      <c r="AA408" s="203"/>
    </row>
    <row r="409" spans="1:27" ht="15.75" thickBot="1">
      <c r="A409" s="4"/>
      <c r="B409" s="302" t="s">
        <v>29</v>
      </c>
      <c r="C409" s="303"/>
      <c r="D409" s="303"/>
      <c r="E409" s="303"/>
      <c r="F409" s="303"/>
      <c r="G409" s="303"/>
      <c r="H409" s="303"/>
      <c r="I409" s="303"/>
      <c r="J409" s="303"/>
      <c r="K409" s="303"/>
      <c r="L409" s="303"/>
      <c r="M409" s="303"/>
      <c r="N409" s="303"/>
      <c r="O409" s="303"/>
      <c r="P409" s="303"/>
      <c r="Q409" s="303"/>
      <c r="R409" s="303"/>
      <c r="S409" s="303"/>
      <c r="T409" s="303"/>
      <c r="U409" s="304"/>
    </row>
    <row r="410" spans="1:27" ht="15.75" customHeight="1">
      <c r="A410" s="23"/>
      <c r="B410" s="473" t="s">
        <v>82</v>
      </c>
      <c r="C410" s="474"/>
      <c r="D410" s="474"/>
      <c r="E410" s="474"/>
      <c r="F410" s="475"/>
      <c r="G410" s="290">
        <v>1908</v>
      </c>
      <c r="H410" s="305"/>
      <c r="I410" s="66">
        <v>0</v>
      </c>
      <c r="J410" s="67">
        <v>0</v>
      </c>
      <c r="K410" s="67">
        <v>0</v>
      </c>
      <c r="L410" s="67">
        <v>0</v>
      </c>
      <c r="M410" s="67">
        <v>0</v>
      </c>
      <c r="N410" s="67">
        <v>0</v>
      </c>
      <c r="O410" s="67">
        <v>0</v>
      </c>
      <c r="P410" s="67">
        <v>0</v>
      </c>
      <c r="Q410" s="68">
        <v>0</v>
      </c>
      <c r="R410" s="67">
        <v>0</v>
      </c>
      <c r="S410" s="67">
        <v>0</v>
      </c>
      <c r="T410" s="68">
        <v>0</v>
      </c>
      <c r="U410" s="69">
        <f>R410/G410</f>
        <v>0</v>
      </c>
      <c r="V410" s="128">
        <f>+I410+O290</f>
        <v>0</v>
      </c>
      <c r="W410" s="128">
        <f>+O410-V410</f>
        <v>0</v>
      </c>
      <c r="X410" s="128">
        <f>+L410+R290</f>
        <v>0</v>
      </c>
      <c r="Y410" s="128">
        <f>+R410-X410</f>
        <v>0</v>
      </c>
      <c r="Z410" s="195">
        <f>+X410/G410</f>
        <v>0</v>
      </c>
      <c r="AA410" s="194">
        <f>+U410-Z410</f>
        <v>0</v>
      </c>
    </row>
    <row r="411" spans="1:27">
      <c r="A411" s="23"/>
      <c r="B411" s="465" t="s">
        <v>83</v>
      </c>
      <c r="C411" s="466"/>
      <c r="D411" s="466"/>
      <c r="E411" s="466"/>
      <c r="F411" s="467"/>
      <c r="G411" s="277">
        <v>9000</v>
      </c>
      <c r="H411" s="292"/>
      <c r="I411" s="64">
        <v>0</v>
      </c>
      <c r="J411" s="70">
        <v>0</v>
      </c>
      <c r="K411" s="70">
        <v>0</v>
      </c>
      <c r="L411" s="117">
        <v>0</v>
      </c>
      <c r="M411" s="70">
        <v>0</v>
      </c>
      <c r="N411" s="70">
        <v>0</v>
      </c>
      <c r="O411" s="70">
        <v>0</v>
      </c>
      <c r="P411" s="70">
        <v>0</v>
      </c>
      <c r="Q411" s="70">
        <v>0</v>
      </c>
      <c r="R411" s="70">
        <v>0</v>
      </c>
      <c r="S411" s="70">
        <v>0</v>
      </c>
      <c r="T411" s="70">
        <v>0</v>
      </c>
      <c r="U411" s="71">
        <f>R411/G411</f>
        <v>0</v>
      </c>
      <c r="V411" s="128">
        <f t="shared" ref="V411:V432" si="99">+I411+O291</f>
        <v>0</v>
      </c>
      <c r="W411" s="128">
        <f t="shared" ref="W411:W432" si="100">+O411-V411</f>
        <v>0</v>
      </c>
      <c r="X411" s="128">
        <f t="shared" ref="X411:X432" si="101">+L411+R291</f>
        <v>0</v>
      </c>
      <c r="Y411" s="128">
        <f t="shared" ref="Y411:Y432" si="102">+R411-X411</f>
        <v>0</v>
      </c>
      <c r="Z411" s="195">
        <f t="shared" ref="Z411:Z432" si="103">+X411/G411</f>
        <v>0</v>
      </c>
      <c r="AA411" s="194">
        <f t="shared" ref="AA411:AA432" si="104">+U411-Z411</f>
        <v>0</v>
      </c>
    </row>
    <row r="412" spans="1:27" s="40" customFormat="1">
      <c r="A412" s="152"/>
      <c r="B412" s="274" t="s">
        <v>84</v>
      </c>
      <c r="C412" s="275"/>
      <c r="D412" s="275"/>
      <c r="E412" s="275"/>
      <c r="F412" s="276"/>
      <c r="G412" s="277">
        <v>15000</v>
      </c>
      <c r="H412" s="292"/>
      <c r="I412" s="142">
        <v>15000</v>
      </c>
      <c r="J412" s="117">
        <v>0</v>
      </c>
      <c r="K412" s="117">
        <v>0</v>
      </c>
      <c r="L412" s="117">
        <v>0</v>
      </c>
      <c r="M412" s="117">
        <v>0</v>
      </c>
      <c r="N412" s="117">
        <v>0</v>
      </c>
      <c r="O412" s="117">
        <v>15000</v>
      </c>
      <c r="P412" s="117">
        <v>0</v>
      </c>
      <c r="Q412" s="117">
        <v>0</v>
      </c>
      <c r="R412" s="117">
        <v>0</v>
      </c>
      <c r="S412" s="117">
        <v>0</v>
      </c>
      <c r="T412" s="117">
        <v>0</v>
      </c>
      <c r="U412" s="153">
        <f>R412/G412</f>
        <v>0</v>
      </c>
      <c r="V412" s="128">
        <f t="shared" si="99"/>
        <v>15000</v>
      </c>
      <c r="W412" s="128">
        <f t="shared" si="100"/>
        <v>0</v>
      </c>
      <c r="X412" s="128">
        <f t="shared" si="101"/>
        <v>0</v>
      </c>
      <c r="Y412" s="128">
        <f t="shared" si="102"/>
        <v>0</v>
      </c>
      <c r="Z412" s="195">
        <f t="shared" si="103"/>
        <v>0</v>
      </c>
      <c r="AA412" s="194">
        <f t="shared" si="104"/>
        <v>0</v>
      </c>
    </row>
    <row r="413" spans="1:27" s="40" customFormat="1">
      <c r="A413" s="152"/>
      <c r="B413" s="274" t="s">
        <v>85</v>
      </c>
      <c r="C413" s="275"/>
      <c r="D413" s="275"/>
      <c r="E413" s="275"/>
      <c r="F413" s="276"/>
      <c r="G413" s="277">
        <v>2000</v>
      </c>
      <c r="H413" s="292"/>
      <c r="I413" s="142">
        <v>0</v>
      </c>
      <c r="J413" s="117">
        <v>0</v>
      </c>
      <c r="K413" s="117">
        <v>0</v>
      </c>
      <c r="L413" s="117">
        <v>0</v>
      </c>
      <c r="M413" s="117">
        <v>0</v>
      </c>
      <c r="N413" s="117">
        <v>0</v>
      </c>
      <c r="O413" s="117">
        <v>0</v>
      </c>
      <c r="P413" s="117">
        <v>0</v>
      </c>
      <c r="Q413" s="117">
        <v>0</v>
      </c>
      <c r="R413" s="117">
        <v>0</v>
      </c>
      <c r="S413" s="117">
        <v>0</v>
      </c>
      <c r="T413" s="117">
        <v>0</v>
      </c>
      <c r="U413" s="153">
        <f t="shared" ref="U413" si="105">R413/G413</f>
        <v>0</v>
      </c>
      <c r="V413" s="128">
        <f t="shared" si="99"/>
        <v>0</v>
      </c>
      <c r="W413" s="128">
        <f t="shared" si="100"/>
        <v>0</v>
      </c>
      <c r="X413" s="128">
        <f t="shared" si="101"/>
        <v>0</v>
      </c>
      <c r="Y413" s="128">
        <f t="shared" si="102"/>
        <v>0</v>
      </c>
      <c r="Z413" s="195">
        <f t="shared" si="103"/>
        <v>0</v>
      </c>
      <c r="AA413" s="194">
        <f t="shared" si="104"/>
        <v>0</v>
      </c>
    </row>
    <row r="414" spans="1:27" s="40" customFormat="1">
      <c r="A414" s="152"/>
      <c r="B414" s="274" t="s">
        <v>119</v>
      </c>
      <c r="C414" s="275"/>
      <c r="D414" s="275"/>
      <c r="E414" s="275"/>
      <c r="F414" s="276"/>
      <c r="G414" s="277">
        <v>198000</v>
      </c>
      <c r="H414" s="292"/>
      <c r="I414" s="142">
        <v>16500</v>
      </c>
      <c r="J414" s="117">
        <v>0</v>
      </c>
      <c r="K414" s="117">
        <v>0</v>
      </c>
      <c r="L414" s="117">
        <v>5000</v>
      </c>
      <c r="M414" s="117">
        <v>0</v>
      </c>
      <c r="N414" s="117">
        <v>0</v>
      </c>
      <c r="O414" s="117">
        <f>16500+16500+16500+16500</f>
        <v>66000</v>
      </c>
      <c r="P414" s="117">
        <v>0</v>
      </c>
      <c r="Q414" s="117">
        <v>0</v>
      </c>
      <c r="R414" s="117">
        <v>5000</v>
      </c>
      <c r="S414" s="117">
        <v>0</v>
      </c>
      <c r="T414" s="117">
        <v>0</v>
      </c>
      <c r="U414" s="153">
        <f>R414/G414</f>
        <v>2.5252525252525252E-2</v>
      </c>
      <c r="V414" s="128">
        <f t="shared" si="99"/>
        <v>66000</v>
      </c>
      <c r="W414" s="128">
        <f t="shared" si="100"/>
        <v>0</v>
      </c>
      <c r="X414" s="128">
        <f t="shared" si="101"/>
        <v>5000</v>
      </c>
      <c r="Y414" s="128">
        <f t="shared" si="102"/>
        <v>0</v>
      </c>
      <c r="Z414" s="195">
        <f t="shared" si="103"/>
        <v>2.5252525252525252E-2</v>
      </c>
      <c r="AA414" s="194">
        <f t="shared" si="104"/>
        <v>0</v>
      </c>
    </row>
    <row r="415" spans="1:27" s="40" customFormat="1" ht="15" customHeight="1">
      <c r="A415" s="152"/>
      <c r="B415" s="274" t="s">
        <v>130</v>
      </c>
      <c r="C415" s="275"/>
      <c r="D415" s="275"/>
      <c r="E415" s="275"/>
      <c r="F415" s="276"/>
      <c r="G415" s="277">
        <v>13000</v>
      </c>
      <c r="H415" s="292"/>
      <c r="I415" s="142">
        <v>0</v>
      </c>
      <c r="J415" s="117">
        <v>0</v>
      </c>
      <c r="K415" s="117">
        <v>0</v>
      </c>
      <c r="L415" s="117">
        <v>0</v>
      </c>
      <c r="M415" s="117">
        <v>0</v>
      </c>
      <c r="N415" s="117">
        <v>0</v>
      </c>
      <c r="O415" s="117">
        <v>0</v>
      </c>
      <c r="P415" s="117">
        <v>0</v>
      </c>
      <c r="Q415" s="117">
        <v>0</v>
      </c>
      <c r="R415" s="117">
        <v>0</v>
      </c>
      <c r="S415" s="117">
        <v>0</v>
      </c>
      <c r="T415" s="117">
        <v>0</v>
      </c>
      <c r="U415" s="153">
        <f>R415/G415</f>
        <v>0</v>
      </c>
      <c r="V415" s="128">
        <f t="shared" si="99"/>
        <v>0</v>
      </c>
      <c r="W415" s="128">
        <f t="shared" si="100"/>
        <v>0</v>
      </c>
      <c r="X415" s="128">
        <f t="shared" si="101"/>
        <v>0</v>
      </c>
      <c r="Y415" s="128">
        <f t="shared" si="102"/>
        <v>0</v>
      </c>
      <c r="Z415" s="195">
        <f t="shared" si="103"/>
        <v>0</v>
      </c>
      <c r="AA415" s="194">
        <f t="shared" si="104"/>
        <v>0</v>
      </c>
    </row>
    <row r="416" spans="1:27" s="40" customFormat="1">
      <c r="A416" s="152"/>
      <c r="B416" s="274" t="s">
        <v>86</v>
      </c>
      <c r="C416" s="275"/>
      <c r="D416" s="275"/>
      <c r="E416" s="275"/>
      <c r="F416" s="276"/>
      <c r="G416" s="277">
        <v>30000</v>
      </c>
      <c r="H416" s="292"/>
      <c r="I416" s="142">
        <v>30000</v>
      </c>
      <c r="J416" s="117">
        <v>0</v>
      </c>
      <c r="K416" s="117">
        <v>0</v>
      </c>
      <c r="L416" s="117">
        <v>0</v>
      </c>
      <c r="M416" s="117">
        <v>0</v>
      </c>
      <c r="N416" s="117">
        <v>0</v>
      </c>
      <c r="O416" s="117">
        <v>30000</v>
      </c>
      <c r="P416" s="117">
        <v>0</v>
      </c>
      <c r="Q416" s="117">
        <v>0</v>
      </c>
      <c r="R416" s="117">
        <f>0+0+0+0</f>
        <v>0</v>
      </c>
      <c r="S416" s="117">
        <v>0</v>
      </c>
      <c r="T416" s="117">
        <v>0</v>
      </c>
      <c r="U416" s="153">
        <f t="shared" ref="U416:U424" si="106">R416/G416</f>
        <v>0</v>
      </c>
      <c r="V416" s="128">
        <f t="shared" si="99"/>
        <v>30000</v>
      </c>
      <c r="W416" s="128">
        <f t="shared" si="100"/>
        <v>0</v>
      </c>
      <c r="X416" s="128">
        <f t="shared" si="101"/>
        <v>0</v>
      </c>
      <c r="Y416" s="128">
        <f t="shared" si="102"/>
        <v>0</v>
      </c>
      <c r="Z416" s="195">
        <f t="shared" si="103"/>
        <v>0</v>
      </c>
      <c r="AA416" s="194">
        <f t="shared" si="104"/>
        <v>0</v>
      </c>
    </row>
    <row r="417" spans="1:27" s="40" customFormat="1">
      <c r="A417" s="152"/>
      <c r="B417" s="274" t="s">
        <v>88</v>
      </c>
      <c r="C417" s="275"/>
      <c r="D417" s="275"/>
      <c r="E417" s="275"/>
      <c r="F417" s="276"/>
      <c r="G417" s="277">
        <v>5800</v>
      </c>
      <c r="H417" s="292"/>
      <c r="I417" s="142">
        <v>0</v>
      </c>
      <c r="J417" s="117">
        <v>0</v>
      </c>
      <c r="K417" s="117">
        <v>0</v>
      </c>
      <c r="L417" s="117">
        <v>0</v>
      </c>
      <c r="M417" s="117">
        <v>0</v>
      </c>
      <c r="N417" s="117">
        <v>0</v>
      </c>
      <c r="O417" s="117">
        <v>0</v>
      </c>
      <c r="P417" s="117">
        <v>0</v>
      </c>
      <c r="Q417" s="117">
        <v>0</v>
      </c>
      <c r="R417" s="117">
        <v>0</v>
      </c>
      <c r="S417" s="117">
        <v>0</v>
      </c>
      <c r="T417" s="117">
        <v>0</v>
      </c>
      <c r="U417" s="153">
        <f t="shared" si="106"/>
        <v>0</v>
      </c>
      <c r="V417" s="128">
        <f t="shared" si="99"/>
        <v>0</v>
      </c>
      <c r="W417" s="128">
        <f t="shared" si="100"/>
        <v>0</v>
      </c>
      <c r="X417" s="128">
        <f t="shared" si="101"/>
        <v>0</v>
      </c>
      <c r="Y417" s="128">
        <f t="shared" si="102"/>
        <v>0</v>
      </c>
      <c r="Z417" s="195">
        <f t="shared" si="103"/>
        <v>0</v>
      </c>
      <c r="AA417" s="194">
        <f t="shared" si="104"/>
        <v>0</v>
      </c>
    </row>
    <row r="418" spans="1:27" s="40" customFormat="1">
      <c r="A418" s="152"/>
      <c r="B418" s="274" t="s">
        <v>131</v>
      </c>
      <c r="C418" s="275"/>
      <c r="D418" s="275"/>
      <c r="E418" s="275"/>
      <c r="F418" s="276"/>
      <c r="G418" s="277">
        <v>40000</v>
      </c>
      <c r="H418" s="292"/>
      <c r="I418" s="142">
        <v>8000</v>
      </c>
      <c r="J418" s="117">
        <v>0</v>
      </c>
      <c r="K418" s="117">
        <v>0</v>
      </c>
      <c r="L418" s="117">
        <v>0</v>
      </c>
      <c r="M418" s="117">
        <v>0</v>
      </c>
      <c r="N418" s="117">
        <v>0</v>
      </c>
      <c r="O418" s="117">
        <v>8000</v>
      </c>
      <c r="P418" s="117">
        <v>0</v>
      </c>
      <c r="Q418" s="117">
        <v>0</v>
      </c>
      <c r="R418" s="117">
        <f>0+0+0+0</f>
        <v>0</v>
      </c>
      <c r="S418" s="117">
        <v>0</v>
      </c>
      <c r="T418" s="117">
        <v>0</v>
      </c>
      <c r="U418" s="153">
        <f t="shared" si="106"/>
        <v>0</v>
      </c>
      <c r="V418" s="128">
        <f t="shared" si="99"/>
        <v>8000</v>
      </c>
      <c r="W418" s="128">
        <f t="shared" si="100"/>
        <v>0</v>
      </c>
      <c r="X418" s="128">
        <f t="shared" si="101"/>
        <v>0</v>
      </c>
      <c r="Y418" s="128">
        <f t="shared" si="102"/>
        <v>0</v>
      </c>
      <c r="Z418" s="195">
        <f t="shared" si="103"/>
        <v>0</v>
      </c>
      <c r="AA418" s="194">
        <f t="shared" si="104"/>
        <v>0</v>
      </c>
    </row>
    <row r="419" spans="1:27" s="40" customFormat="1">
      <c r="A419" s="152"/>
      <c r="B419" s="274" t="s">
        <v>87</v>
      </c>
      <c r="C419" s="275"/>
      <c r="D419" s="275"/>
      <c r="E419" s="275"/>
      <c r="F419" s="276"/>
      <c r="G419" s="277">
        <v>9000</v>
      </c>
      <c r="H419" s="292"/>
      <c r="I419" s="142">
        <v>0</v>
      </c>
      <c r="J419" s="117">
        <v>0</v>
      </c>
      <c r="K419" s="117">
        <v>0</v>
      </c>
      <c r="L419" s="117">
        <v>0</v>
      </c>
      <c r="M419" s="117">
        <v>0</v>
      </c>
      <c r="N419" s="117">
        <v>0</v>
      </c>
      <c r="O419" s="117">
        <v>0</v>
      </c>
      <c r="P419" s="117">
        <v>0</v>
      </c>
      <c r="Q419" s="117">
        <v>0</v>
      </c>
      <c r="R419" s="117">
        <v>0</v>
      </c>
      <c r="S419" s="117">
        <v>0</v>
      </c>
      <c r="T419" s="117">
        <v>0</v>
      </c>
      <c r="U419" s="153">
        <f t="shared" si="106"/>
        <v>0</v>
      </c>
      <c r="V419" s="128">
        <f t="shared" si="99"/>
        <v>0</v>
      </c>
      <c r="W419" s="128">
        <f t="shared" si="100"/>
        <v>0</v>
      </c>
      <c r="X419" s="128">
        <f t="shared" si="101"/>
        <v>0</v>
      </c>
      <c r="Y419" s="128">
        <f t="shared" si="102"/>
        <v>0</v>
      </c>
      <c r="Z419" s="195">
        <f t="shared" si="103"/>
        <v>0</v>
      </c>
      <c r="AA419" s="194">
        <f t="shared" si="104"/>
        <v>0</v>
      </c>
    </row>
    <row r="420" spans="1:27" s="40" customFormat="1">
      <c r="A420" s="152"/>
      <c r="B420" s="274" t="s">
        <v>89</v>
      </c>
      <c r="C420" s="275"/>
      <c r="D420" s="275"/>
      <c r="E420" s="275"/>
      <c r="F420" s="276"/>
      <c r="G420" s="277">
        <v>8000</v>
      </c>
      <c r="H420" s="292"/>
      <c r="I420" s="142">
        <v>8000</v>
      </c>
      <c r="J420" s="117">
        <v>0</v>
      </c>
      <c r="K420" s="117">
        <v>0</v>
      </c>
      <c r="L420" s="117">
        <v>0</v>
      </c>
      <c r="M420" s="117">
        <v>0</v>
      </c>
      <c r="N420" s="117">
        <v>0</v>
      </c>
      <c r="O420" s="117">
        <v>8000</v>
      </c>
      <c r="P420" s="117">
        <v>0</v>
      </c>
      <c r="Q420" s="117">
        <v>0</v>
      </c>
      <c r="R420" s="117">
        <f>0+0+0+0</f>
        <v>0</v>
      </c>
      <c r="S420" s="117">
        <v>0</v>
      </c>
      <c r="T420" s="117">
        <v>0</v>
      </c>
      <c r="U420" s="153">
        <f t="shared" si="106"/>
        <v>0</v>
      </c>
      <c r="V420" s="128">
        <f t="shared" si="99"/>
        <v>8000</v>
      </c>
      <c r="W420" s="128">
        <f t="shared" si="100"/>
        <v>0</v>
      </c>
      <c r="X420" s="128">
        <f t="shared" si="101"/>
        <v>0</v>
      </c>
      <c r="Y420" s="128">
        <f t="shared" si="102"/>
        <v>0</v>
      </c>
      <c r="Z420" s="195">
        <f t="shared" si="103"/>
        <v>0</v>
      </c>
      <c r="AA420" s="194">
        <f t="shared" si="104"/>
        <v>0</v>
      </c>
    </row>
    <row r="421" spans="1:27" s="40" customFormat="1">
      <c r="A421" s="152"/>
      <c r="B421" s="274" t="s">
        <v>90</v>
      </c>
      <c r="C421" s="275"/>
      <c r="D421" s="275"/>
      <c r="E421" s="275"/>
      <c r="F421" s="276"/>
      <c r="G421" s="277">
        <v>9000</v>
      </c>
      <c r="H421" s="292"/>
      <c r="I421" s="142">
        <v>3000</v>
      </c>
      <c r="J421" s="117">
        <v>0</v>
      </c>
      <c r="K421" s="117">
        <v>0</v>
      </c>
      <c r="L421" s="117">
        <v>0</v>
      </c>
      <c r="M421" s="117">
        <v>0</v>
      </c>
      <c r="N421" s="117">
        <v>0</v>
      </c>
      <c r="O421" s="117">
        <v>3000</v>
      </c>
      <c r="P421" s="117">
        <v>0</v>
      </c>
      <c r="Q421" s="117">
        <v>0</v>
      </c>
      <c r="R421" s="117">
        <f>0+0+0+0</f>
        <v>0</v>
      </c>
      <c r="S421" s="117">
        <v>0</v>
      </c>
      <c r="T421" s="117">
        <v>0</v>
      </c>
      <c r="U421" s="153">
        <f t="shared" si="106"/>
        <v>0</v>
      </c>
      <c r="V421" s="128">
        <f t="shared" si="99"/>
        <v>3000</v>
      </c>
      <c r="W421" s="128">
        <f t="shared" si="100"/>
        <v>0</v>
      </c>
      <c r="X421" s="128">
        <f t="shared" si="101"/>
        <v>0</v>
      </c>
      <c r="Y421" s="128">
        <f t="shared" si="102"/>
        <v>0</v>
      </c>
      <c r="Z421" s="195">
        <f t="shared" si="103"/>
        <v>0</v>
      </c>
      <c r="AA421" s="194">
        <f t="shared" si="104"/>
        <v>0</v>
      </c>
    </row>
    <row r="422" spans="1:27" s="40" customFormat="1">
      <c r="A422" s="152"/>
      <c r="B422" s="274" t="s">
        <v>64</v>
      </c>
      <c r="C422" s="275"/>
      <c r="D422" s="275"/>
      <c r="E422" s="275"/>
      <c r="F422" s="276"/>
      <c r="G422" s="277">
        <v>3750</v>
      </c>
      <c r="H422" s="292"/>
      <c r="I422" s="142">
        <v>0</v>
      </c>
      <c r="J422" s="117">
        <v>0</v>
      </c>
      <c r="K422" s="117">
        <v>0</v>
      </c>
      <c r="L422" s="117">
        <v>0</v>
      </c>
      <c r="M422" s="117">
        <v>0</v>
      </c>
      <c r="N422" s="117">
        <v>0</v>
      </c>
      <c r="O422" s="117">
        <v>0</v>
      </c>
      <c r="P422" s="117">
        <v>0</v>
      </c>
      <c r="Q422" s="117">
        <v>0</v>
      </c>
      <c r="R422" s="117">
        <v>0</v>
      </c>
      <c r="S422" s="117">
        <v>0</v>
      </c>
      <c r="T422" s="117">
        <v>0</v>
      </c>
      <c r="U422" s="153">
        <f t="shared" si="106"/>
        <v>0</v>
      </c>
      <c r="V422" s="128">
        <f t="shared" si="99"/>
        <v>0</v>
      </c>
      <c r="W422" s="128">
        <f t="shared" si="100"/>
        <v>0</v>
      </c>
      <c r="X422" s="128">
        <f t="shared" si="101"/>
        <v>0</v>
      </c>
      <c r="Y422" s="128">
        <f t="shared" si="102"/>
        <v>0</v>
      </c>
      <c r="Z422" s="195">
        <f t="shared" si="103"/>
        <v>0</v>
      </c>
      <c r="AA422" s="194">
        <f t="shared" si="104"/>
        <v>0</v>
      </c>
    </row>
    <row r="423" spans="1:27" s="40" customFormat="1">
      <c r="A423" s="152"/>
      <c r="B423" s="274" t="s">
        <v>91</v>
      </c>
      <c r="C423" s="275"/>
      <c r="D423" s="275"/>
      <c r="E423" s="275"/>
      <c r="F423" s="276"/>
      <c r="G423" s="277">
        <v>6000</v>
      </c>
      <c r="H423" s="292"/>
      <c r="I423" s="142">
        <v>6000</v>
      </c>
      <c r="J423" s="117">
        <v>0</v>
      </c>
      <c r="K423" s="117">
        <v>0</v>
      </c>
      <c r="L423" s="117">
        <v>0</v>
      </c>
      <c r="M423" s="117">
        <v>0</v>
      </c>
      <c r="N423" s="117">
        <v>0</v>
      </c>
      <c r="O423" s="117">
        <v>6000</v>
      </c>
      <c r="P423" s="117">
        <v>0</v>
      </c>
      <c r="Q423" s="117">
        <v>0</v>
      </c>
      <c r="R423" s="117">
        <f>0+0+0+0</f>
        <v>0</v>
      </c>
      <c r="S423" s="117">
        <v>0</v>
      </c>
      <c r="T423" s="117">
        <v>0</v>
      </c>
      <c r="U423" s="153">
        <f t="shared" si="106"/>
        <v>0</v>
      </c>
      <c r="V423" s="128">
        <f t="shared" si="99"/>
        <v>6000</v>
      </c>
      <c r="W423" s="128">
        <f t="shared" si="100"/>
        <v>0</v>
      </c>
      <c r="X423" s="128">
        <f t="shared" si="101"/>
        <v>0</v>
      </c>
      <c r="Y423" s="128">
        <f t="shared" si="102"/>
        <v>0</v>
      </c>
      <c r="Z423" s="195">
        <f t="shared" si="103"/>
        <v>0</v>
      </c>
      <c r="AA423" s="194">
        <f t="shared" si="104"/>
        <v>0</v>
      </c>
    </row>
    <row r="424" spans="1:27" s="40" customFormat="1">
      <c r="A424" s="152"/>
      <c r="B424" s="274" t="s">
        <v>81</v>
      </c>
      <c r="C424" s="275"/>
      <c r="D424" s="275"/>
      <c r="E424" s="275"/>
      <c r="F424" s="276"/>
      <c r="G424" s="277">
        <v>195000</v>
      </c>
      <c r="H424" s="292"/>
      <c r="I424" s="142">
        <v>13000</v>
      </c>
      <c r="J424" s="117">
        <v>0</v>
      </c>
      <c r="K424" s="117">
        <v>0</v>
      </c>
      <c r="L424" s="117">
        <v>15279.25</v>
      </c>
      <c r="M424" s="117">
        <v>0</v>
      </c>
      <c r="N424" s="117">
        <v>0</v>
      </c>
      <c r="O424" s="117">
        <f>26000+26000+26000+13000</f>
        <v>91000</v>
      </c>
      <c r="P424" s="117">
        <v>0</v>
      </c>
      <c r="Q424" s="117">
        <v>0</v>
      </c>
      <c r="R424" s="117">
        <f>23416.71+27887.03+23419.61+15279.25</f>
        <v>90002.6</v>
      </c>
      <c r="S424" s="117">
        <v>0</v>
      </c>
      <c r="T424" s="117">
        <v>0</v>
      </c>
      <c r="U424" s="153">
        <f t="shared" si="106"/>
        <v>0.46155179487179493</v>
      </c>
      <c r="V424" s="128">
        <f t="shared" si="99"/>
        <v>91000</v>
      </c>
      <c r="W424" s="128">
        <f t="shared" si="100"/>
        <v>0</v>
      </c>
      <c r="X424" s="128">
        <f t="shared" si="101"/>
        <v>90002.6</v>
      </c>
      <c r="Y424" s="128">
        <f t="shared" si="102"/>
        <v>0</v>
      </c>
      <c r="Z424" s="195">
        <f t="shared" si="103"/>
        <v>0.46155179487179493</v>
      </c>
      <c r="AA424" s="194">
        <f t="shared" si="104"/>
        <v>0</v>
      </c>
    </row>
    <row r="425" spans="1:27" s="40" customFormat="1" ht="15" customHeight="1">
      <c r="A425" s="152"/>
      <c r="B425" s="274" t="s">
        <v>132</v>
      </c>
      <c r="C425" s="275"/>
      <c r="D425" s="275"/>
      <c r="E425" s="275"/>
      <c r="F425" s="276"/>
      <c r="G425" s="277">
        <v>1900</v>
      </c>
      <c r="H425" s="292"/>
      <c r="I425" s="142">
        <v>1900</v>
      </c>
      <c r="J425" s="117">
        <v>0</v>
      </c>
      <c r="K425" s="117">
        <v>0</v>
      </c>
      <c r="L425" s="117">
        <v>0</v>
      </c>
      <c r="M425" s="117">
        <v>0</v>
      </c>
      <c r="N425" s="117">
        <v>0</v>
      </c>
      <c r="O425" s="117">
        <v>1900</v>
      </c>
      <c r="P425" s="117">
        <v>0</v>
      </c>
      <c r="Q425" s="117">
        <v>0</v>
      </c>
      <c r="R425" s="117">
        <v>0</v>
      </c>
      <c r="S425" s="117">
        <v>0</v>
      </c>
      <c r="T425" s="117">
        <v>0</v>
      </c>
      <c r="U425" s="153">
        <f>R425/G425</f>
        <v>0</v>
      </c>
      <c r="V425" s="128">
        <f t="shared" si="99"/>
        <v>1900</v>
      </c>
      <c r="W425" s="128">
        <f t="shared" si="100"/>
        <v>0</v>
      </c>
      <c r="X425" s="128">
        <f t="shared" si="101"/>
        <v>0</v>
      </c>
      <c r="Y425" s="128">
        <f t="shared" si="102"/>
        <v>0</v>
      </c>
      <c r="Z425" s="195">
        <f t="shared" si="103"/>
        <v>0</v>
      </c>
      <c r="AA425" s="194">
        <f t="shared" si="104"/>
        <v>0</v>
      </c>
    </row>
    <row r="426" spans="1:27" s="40" customFormat="1" ht="15" customHeight="1">
      <c r="A426" s="152"/>
      <c r="B426" s="274" t="s">
        <v>133</v>
      </c>
      <c r="C426" s="275"/>
      <c r="D426" s="275"/>
      <c r="E426" s="275"/>
      <c r="F426" s="276"/>
      <c r="G426" s="277">
        <v>20000</v>
      </c>
      <c r="H426" s="292"/>
      <c r="I426" s="142">
        <v>0</v>
      </c>
      <c r="J426" s="116">
        <v>0</v>
      </c>
      <c r="K426" s="116">
        <v>0</v>
      </c>
      <c r="L426" s="116">
        <v>0</v>
      </c>
      <c r="M426" s="116">
        <v>0</v>
      </c>
      <c r="N426" s="116">
        <v>0</v>
      </c>
      <c r="O426" s="116">
        <v>0</v>
      </c>
      <c r="P426" s="116">
        <v>0</v>
      </c>
      <c r="Q426" s="116">
        <v>0</v>
      </c>
      <c r="R426" s="116">
        <v>0</v>
      </c>
      <c r="S426" s="116">
        <v>0</v>
      </c>
      <c r="T426" s="116">
        <v>0</v>
      </c>
      <c r="U426" s="156">
        <f>R426/G426</f>
        <v>0</v>
      </c>
      <c r="V426" s="128">
        <f t="shared" si="99"/>
        <v>0</v>
      </c>
      <c r="W426" s="128">
        <f t="shared" si="100"/>
        <v>0</v>
      </c>
      <c r="X426" s="128">
        <f t="shared" si="101"/>
        <v>0</v>
      </c>
      <c r="Y426" s="128">
        <f t="shared" si="102"/>
        <v>0</v>
      </c>
      <c r="Z426" s="195">
        <f t="shared" si="103"/>
        <v>0</v>
      </c>
      <c r="AA426" s="194">
        <f t="shared" si="104"/>
        <v>0</v>
      </c>
    </row>
    <row r="427" spans="1:27" s="40" customFormat="1" ht="15" customHeight="1">
      <c r="A427" s="152"/>
      <c r="B427" s="274" t="s">
        <v>134</v>
      </c>
      <c r="C427" s="275"/>
      <c r="D427" s="275"/>
      <c r="E427" s="275"/>
      <c r="F427" s="276"/>
      <c r="G427" s="277">
        <v>7200</v>
      </c>
      <c r="H427" s="292"/>
      <c r="I427" s="142">
        <v>0</v>
      </c>
      <c r="J427" s="116">
        <v>0</v>
      </c>
      <c r="K427" s="116">
        <v>0</v>
      </c>
      <c r="L427" s="116">
        <v>0</v>
      </c>
      <c r="M427" s="116">
        <v>0</v>
      </c>
      <c r="N427" s="116">
        <v>0</v>
      </c>
      <c r="O427" s="116">
        <v>0</v>
      </c>
      <c r="P427" s="116">
        <v>0</v>
      </c>
      <c r="Q427" s="116">
        <v>0</v>
      </c>
      <c r="R427" s="116">
        <v>0</v>
      </c>
      <c r="S427" s="116">
        <v>0</v>
      </c>
      <c r="T427" s="116">
        <v>0</v>
      </c>
      <c r="U427" s="156">
        <f>R427/G427</f>
        <v>0</v>
      </c>
      <c r="V427" s="128">
        <f t="shared" si="99"/>
        <v>0</v>
      </c>
      <c r="W427" s="128">
        <f t="shared" si="100"/>
        <v>0</v>
      </c>
      <c r="X427" s="128">
        <f t="shared" si="101"/>
        <v>0</v>
      </c>
      <c r="Y427" s="128">
        <f t="shared" si="102"/>
        <v>0</v>
      </c>
      <c r="Z427" s="195">
        <f t="shared" si="103"/>
        <v>0</v>
      </c>
      <c r="AA427" s="194">
        <f t="shared" si="104"/>
        <v>0</v>
      </c>
    </row>
    <row r="428" spans="1:27" s="40" customFormat="1" ht="15" customHeight="1">
      <c r="A428" s="152"/>
      <c r="B428" s="274" t="s">
        <v>79</v>
      </c>
      <c r="C428" s="275"/>
      <c r="D428" s="275"/>
      <c r="E428" s="275"/>
      <c r="F428" s="276"/>
      <c r="G428" s="277">
        <v>37500</v>
      </c>
      <c r="H428" s="292"/>
      <c r="I428" s="142">
        <v>37500</v>
      </c>
      <c r="J428" s="116">
        <v>0</v>
      </c>
      <c r="K428" s="116">
        <v>0</v>
      </c>
      <c r="L428" s="116">
        <v>0</v>
      </c>
      <c r="M428" s="116">
        <v>0</v>
      </c>
      <c r="N428" s="116">
        <v>0</v>
      </c>
      <c r="O428" s="116">
        <v>37500</v>
      </c>
      <c r="P428" s="116">
        <v>0</v>
      </c>
      <c r="Q428" s="116">
        <v>0</v>
      </c>
      <c r="R428" s="116">
        <f>0+0+0+0</f>
        <v>0</v>
      </c>
      <c r="S428" s="116">
        <v>0</v>
      </c>
      <c r="T428" s="116">
        <v>0</v>
      </c>
      <c r="U428" s="156">
        <f t="shared" ref="U428:U429" si="107">R428/G428</f>
        <v>0</v>
      </c>
      <c r="V428" s="128">
        <f t="shared" si="99"/>
        <v>37500</v>
      </c>
      <c r="W428" s="128">
        <f t="shared" si="100"/>
        <v>0</v>
      </c>
      <c r="X428" s="128">
        <f t="shared" si="101"/>
        <v>0</v>
      </c>
      <c r="Y428" s="128">
        <f t="shared" si="102"/>
        <v>0</v>
      </c>
      <c r="Z428" s="195">
        <f t="shared" si="103"/>
        <v>0</v>
      </c>
      <c r="AA428" s="194">
        <f t="shared" si="104"/>
        <v>0</v>
      </c>
    </row>
    <row r="429" spans="1:27" s="40" customFormat="1" ht="15" customHeight="1">
      <c r="A429" s="152"/>
      <c r="B429" s="274" t="s">
        <v>92</v>
      </c>
      <c r="C429" s="275"/>
      <c r="D429" s="275"/>
      <c r="E429" s="275"/>
      <c r="F429" s="276"/>
      <c r="G429" s="277">
        <v>39600</v>
      </c>
      <c r="H429" s="292"/>
      <c r="I429" s="142">
        <v>39600</v>
      </c>
      <c r="J429" s="116">
        <v>0</v>
      </c>
      <c r="K429" s="116">
        <v>0</v>
      </c>
      <c r="L429" s="116">
        <v>0</v>
      </c>
      <c r="M429" s="116">
        <v>0</v>
      </c>
      <c r="N429" s="116">
        <v>0</v>
      </c>
      <c r="O429" s="116">
        <v>39600</v>
      </c>
      <c r="P429" s="116">
        <v>0</v>
      </c>
      <c r="Q429" s="116">
        <v>0</v>
      </c>
      <c r="R429" s="116">
        <f>0+0+0+0</f>
        <v>0</v>
      </c>
      <c r="S429" s="116">
        <v>0</v>
      </c>
      <c r="T429" s="116">
        <v>0</v>
      </c>
      <c r="U429" s="156">
        <f t="shared" si="107"/>
        <v>0</v>
      </c>
      <c r="V429" s="128">
        <f t="shared" si="99"/>
        <v>39600</v>
      </c>
      <c r="W429" s="128">
        <f t="shared" si="100"/>
        <v>0</v>
      </c>
      <c r="X429" s="128">
        <f t="shared" si="101"/>
        <v>0</v>
      </c>
      <c r="Y429" s="128">
        <f t="shared" si="102"/>
        <v>0</v>
      </c>
      <c r="Z429" s="195">
        <f t="shared" si="103"/>
        <v>0</v>
      </c>
      <c r="AA429" s="194">
        <f t="shared" si="104"/>
        <v>0</v>
      </c>
    </row>
    <row r="430" spans="1:27">
      <c r="A430" s="23"/>
      <c r="B430" s="274" t="s">
        <v>65</v>
      </c>
      <c r="C430" s="275"/>
      <c r="D430" s="275"/>
      <c r="E430" s="275"/>
      <c r="F430" s="276"/>
      <c r="G430" s="463">
        <v>23750</v>
      </c>
      <c r="H430" s="476"/>
      <c r="I430" s="64">
        <v>0</v>
      </c>
      <c r="J430" s="26">
        <v>0</v>
      </c>
      <c r="K430" s="26">
        <v>0</v>
      </c>
      <c r="L430" s="26">
        <v>0</v>
      </c>
      <c r="M430" s="26">
        <v>0</v>
      </c>
      <c r="N430" s="26">
        <v>0</v>
      </c>
      <c r="O430" s="26">
        <v>0</v>
      </c>
      <c r="P430" s="26">
        <v>0</v>
      </c>
      <c r="Q430" s="26">
        <v>0</v>
      </c>
      <c r="R430" s="26">
        <v>0</v>
      </c>
      <c r="S430" s="26">
        <v>0</v>
      </c>
      <c r="T430" s="26">
        <v>0</v>
      </c>
      <c r="U430" s="65">
        <f>R430/G430</f>
        <v>0</v>
      </c>
      <c r="V430" s="128">
        <f t="shared" si="99"/>
        <v>0</v>
      </c>
      <c r="W430" s="128">
        <f t="shared" si="100"/>
        <v>0</v>
      </c>
      <c r="X430" s="128">
        <f t="shared" si="101"/>
        <v>0</v>
      </c>
      <c r="Y430" s="128">
        <f t="shared" si="102"/>
        <v>0</v>
      </c>
      <c r="Z430" s="195">
        <f t="shared" si="103"/>
        <v>0</v>
      </c>
      <c r="AA430" s="194">
        <f t="shared" si="104"/>
        <v>0</v>
      </c>
    </row>
    <row r="431" spans="1:27" ht="15.75" thickBot="1">
      <c r="A431" s="23"/>
      <c r="B431" s="453"/>
      <c r="C431" s="454"/>
      <c r="D431" s="454"/>
      <c r="E431" s="454"/>
      <c r="F431" s="455"/>
      <c r="G431" s="456"/>
      <c r="H431" s="457"/>
      <c r="I431" s="64"/>
      <c r="J431" s="26"/>
      <c r="K431" s="26"/>
      <c r="L431" s="26"/>
      <c r="M431" s="26"/>
      <c r="N431" s="26"/>
      <c r="O431" s="26"/>
      <c r="P431" s="26"/>
      <c r="Q431" s="26"/>
      <c r="R431" s="26"/>
      <c r="S431" s="26"/>
      <c r="T431" s="26"/>
      <c r="U431" s="27"/>
      <c r="V431" s="128"/>
      <c r="W431" s="128"/>
      <c r="X431" s="128"/>
      <c r="Y431" s="128"/>
      <c r="Z431" s="195"/>
      <c r="AA431" s="194"/>
    </row>
    <row r="432" spans="1:27" ht="15.75" thickBot="1">
      <c r="A432" s="23"/>
      <c r="B432" s="257" t="s">
        <v>21</v>
      </c>
      <c r="C432" s="258"/>
      <c r="D432" s="258"/>
      <c r="E432" s="258"/>
      <c r="F432" s="259"/>
      <c r="G432" s="260">
        <f>SUM(G410:H431)</f>
        <v>675408</v>
      </c>
      <c r="H432" s="261"/>
      <c r="I432" s="29">
        <f>SUM(I410:I431)</f>
        <v>178500</v>
      </c>
      <c r="J432" s="29"/>
      <c r="K432" s="29"/>
      <c r="L432" s="29">
        <f>SUM(L410:L431)</f>
        <v>20279.25</v>
      </c>
      <c r="M432" s="29"/>
      <c r="N432" s="29"/>
      <c r="O432" s="29">
        <f>SUM(O410:O431)</f>
        <v>306000</v>
      </c>
      <c r="P432" s="29"/>
      <c r="Q432" s="29"/>
      <c r="R432" s="29">
        <f>SUM(R410:R431)</f>
        <v>95002.6</v>
      </c>
      <c r="S432" s="29"/>
      <c r="T432" s="30"/>
      <c r="U432" s="78">
        <f>R432/G432</f>
        <v>0.14065957169592305</v>
      </c>
      <c r="V432" s="128">
        <f t="shared" si="99"/>
        <v>306000</v>
      </c>
      <c r="W432" s="128">
        <f t="shared" si="100"/>
        <v>0</v>
      </c>
      <c r="X432" s="128">
        <f t="shared" si="101"/>
        <v>95002.6</v>
      </c>
      <c r="Y432" s="128">
        <f t="shared" si="102"/>
        <v>0</v>
      </c>
      <c r="Z432" s="195">
        <f t="shared" si="103"/>
        <v>0.14065957169592305</v>
      </c>
      <c r="AA432" s="194">
        <f t="shared" si="104"/>
        <v>0</v>
      </c>
    </row>
    <row r="433" spans="1:27" ht="15.75" thickBot="1">
      <c r="A433" s="23"/>
      <c r="B433" s="297"/>
      <c r="C433" s="297"/>
      <c r="D433" s="297"/>
      <c r="E433" s="297"/>
      <c r="F433" s="297"/>
      <c r="G433" s="298"/>
      <c r="H433" s="298"/>
      <c r="I433" s="64"/>
      <c r="J433" s="64"/>
      <c r="K433" s="64"/>
      <c r="L433" s="64"/>
      <c r="M433" s="64"/>
      <c r="N433" s="64"/>
      <c r="O433" s="64"/>
      <c r="P433" s="64"/>
      <c r="Q433" s="64"/>
      <c r="R433" s="64"/>
      <c r="S433" s="64"/>
      <c r="T433" s="64"/>
      <c r="U433" s="72"/>
    </row>
    <row r="434" spans="1:27" ht="15.75" thickBot="1">
      <c r="A434" s="23"/>
      <c r="B434" s="284" t="s">
        <v>30</v>
      </c>
      <c r="C434" s="285"/>
      <c r="D434" s="285"/>
      <c r="E434" s="285"/>
      <c r="F434" s="285"/>
      <c r="G434" s="285"/>
      <c r="H434" s="285"/>
      <c r="I434" s="285"/>
      <c r="J434" s="285"/>
      <c r="K434" s="285"/>
      <c r="L434" s="285"/>
      <c r="M434" s="285"/>
      <c r="N434" s="285"/>
      <c r="O434" s="285"/>
      <c r="P434" s="285"/>
      <c r="Q434" s="285"/>
      <c r="R434" s="285"/>
      <c r="S434" s="285"/>
      <c r="T434" s="285"/>
      <c r="U434" s="286"/>
    </row>
    <row r="435" spans="1:27" ht="15" customHeight="1">
      <c r="A435" s="23"/>
      <c r="B435" s="473" t="s">
        <v>80</v>
      </c>
      <c r="C435" s="474"/>
      <c r="D435" s="474"/>
      <c r="E435" s="474"/>
      <c r="F435" s="475"/>
      <c r="G435" s="471">
        <v>11500</v>
      </c>
      <c r="H435" s="472"/>
      <c r="I435" s="74">
        <v>0</v>
      </c>
      <c r="J435" s="74">
        <v>0</v>
      </c>
      <c r="K435" s="74">
        <v>0</v>
      </c>
      <c r="L435" s="74">
        <v>0</v>
      </c>
      <c r="M435" s="74">
        <v>0</v>
      </c>
      <c r="N435" s="74">
        <v>0</v>
      </c>
      <c r="O435" s="74">
        <v>0</v>
      </c>
      <c r="P435" s="74">
        <v>0</v>
      </c>
      <c r="Q435" s="74">
        <v>0</v>
      </c>
      <c r="R435" s="74">
        <v>0</v>
      </c>
      <c r="S435" s="74">
        <v>0</v>
      </c>
      <c r="T435" s="67">
        <v>0</v>
      </c>
      <c r="U435" s="75">
        <f t="shared" ref="U435:U442" si="108">R435/G435</f>
        <v>0</v>
      </c>
      <c r="V435" s="128">
        <f t="shared" ref="V435:V442" si="109">+I435+O315</f>
        <v>0</v>
      </c>
      <c r="W435" s="128">
        <f t="shared" ref="W435:W442" si="110">+O435-V435</f>
        <v>0</v>
      </c>
      <c r="X435" s="128">
        <f t="shared" ref="X435:X442" si="111">+L435+R315</f>
        <v>0</v>
      </c>
      <c r="Y435" s="128">
        <f t="shared" ref="Y435:Y442" si="112">+R435-X435</f>
        <v>0</v>
      </c>
      <c r="Z435" s="195">
        <f t="shared" ref="Z435:Z442" si="113">+X435/G435</f>
        <v>0</v>
      </c>
      <c r="AA435" s="194">
        <f t="shared" ref="AA435:AA442" si="114">+U435-Z435</f>
        <v>0</v>
      </c>
    </row>
    <row r="436" spans="1:27" s="40" customFormat="1">
      <c r="A436" s="152"/>
      <c r="B436" s="274" t="s">
        <v>124</v>
      </c>
      <c r="C436" s="275"/>
      <c r="D436" s="275"/>
      <c r="E436" s="275"/>
      <c r="F436" s="276"/>
      <c r="G436" s="277">
        <v>30000</v>
      </c>
      <c r="H436" s="278"/>
      <c r="I436" s="116">
        <v>0</v>
      </c>
      <c r="J436" s="116">
        <v>0</v>
      </c>
      <c r="K436" s="116">
        <v>0</v>
      </c>
      <c r="L436" s="116">
        <v>0</v>
      </c>
      <c r="M436" s="116">
        <v>0</v>
      </c>
      <c r="N436" s="116">
        <v>0</v>
      </c>
      <c r="O436" s="116">
        <v>0</v>
      </c>
      <c r="P436" s="116">
        <v>0</v>
      </c>
      <c r="Q436" s="116">
        <v>0</v>
      </c>
      <c r="R436" s="116">
        <v>0</v>
      </c>
      <c r="S436" s="116">
        <v>0</v>
      </c>
      <c r="T436" s="117">
        <v>0</v>
      </c>
      <c r="U436" s="153">
        <f t="shared" si="108"/>
        <v>0</v>
      </c>
      <c r="V436" s="128">
        <f t="shared" si="109"/>
        <v>0</v>
      </c>
      <c r="W436" s="128">
        <f t="shared" si="110"/>
        <v>0</v>
      </c>
      <c r="X436" s="128">
        <f t="shared" si="111"/>
        <v>0</v>
      </c>
      <c r="Y436" s="128">
        <f t="shared" si="112"/>
        <v>0</v>
      </c>
      <c r="Z436" s="195">
        <f t="shared" si="113"/>
        <v>0</v>
      </c>
      <c r="AA436" s="194">
        <f t="shared" si="114"/>
        <v>0</v>
      </c>
    </row>
    <row r="437" spans="1:27" s="40" customFormat="1" ht="15" customHeight="1">
      <c r="A437" s="152"/>
      <c r="B437" s="274" t="s">
        <v>123</v>
      </c>
      <c r="C437" s="275"/>
      <c r="D437" s="275"/>
      <c r="E437" s="275"/>
      <c r="F437" s="276"/>
      <c r="G437" s="277">
        <v>12328</v>
      </c>
      <c r="H437" s="278"/>
      <c r="I437" s="116">
        <v>0</v>
      </c>
      <c r="J437" s="116">
        <v>0</v>
      </c>
      <c r="K437" s="116">
        <v>0</v>
      </c>
      <c r="L437" s="116">
        <v>12328</v>
      </c>
      <c r="M437" s="116">
        <v>0</v>
      </c>
      <c r="N437" s="116">
        <v>0</v>
      </c>
      <c r="O437" s="116">
        <v>12328</v>
      </c>
      <c r="P437" s="116">
        <v>0</v>
      </c>
      <c r="Q437" s="116">
        <v>0</v>
      </c>
      <c r="R437" s="116">
        <v>12328</v>
      </c>
      <c r="S437" s="116">
        <v>0</v>
      </c>
      <c r="T437" s="117">
        <v>0</v>
      </c>
      <c r="U437" s="153">
        <f t="shared" si="108"/>
        <v>1</v>
      </c>
      <c r="V437" s="128">
        <f t="shared" si="109"/>
        <v>12328</v>
      </c>
      <c r="W437" s="128">
        <f t="shared" si="110"/>
        <v>0</v>
      </c>
      <c r="X437" s="128">
        <f t="shared" si="111"/>
        <v>12328</v>
      </c>
      <c r="Y437" s="128">
        <f t="shared" si="112"/>
        <v>0</v>
      </c>
      <c r="Z437" s="195">
        <f t="shared" si="113"/>
        <v>1</v>
      </c>
      <c r="AA437" s="194">
        <f t="shared" si="114"/>
        <v>0</v>
      </c>
    </row>
    <row r="438" spans="1:27" ht="15" customHeight="1">
      <c r="A438" s="23"/>
      <c r="B438" s="465" t="s">
        <v>66</v>
      </c>
      <c r="C438" s="466"/>
      <c r="D438" s="466"/>
      <c r="E438" s="466"/>
      <c r="F438" s="467"/>
      <c r="G438" s="463">
        <v>16000</v>
      </c>
      <c r="H438" s="464"/>
      <c r="I438" s="26">
        <v>0</v>
      </c>
      <c r="J438" s="26">
        <v>0</v>
      </c>
      <c r="K438" s="26">
        <v>0</v>
      </c>
      <c r="L438" s="26">
        <v>0</v>
      </c>
      <c r="M438" s="26">
        <v>0</v>
      </c>
      <c r="N438" s="26">
        <v>0</v>
      </c>
      <c r="O438" s="26">
        <v>0</v>
      </c>
      <c r="P438" s="26">
        <v>0</v>
      </c>
      <c r="Q438" s="26">
        <v>0</v>
      </c>
      <c r="R438" s="26">
        <v>0</v>
      </c>
      <c r="S438" s="26">
        <v>0</v>
      </c>
      <c r="T438" s="70">
        <v>0</v>
      </c>
      <c r="U438" s="71">
        <f t="shared" si="108"/>
        <v>0</v>
      </c>
      <c r="V438" s="128">
        <f t="shared" si="109"/>
        <v>0</v>
      </c>
      <c r="W438" s="128">
        <f t="shared" si="110"/>
        <v>0</v>
      </c>
      <c r="X438" s="128">
        <f t="shared" si="111"/>
        <v>0</v>
      </c>
      <c r="Y438" s="128">
        <f t="shared" si="112"/>
        <v>0</v>
      </c>
      <c r="Z438" s="195">
        <f t="shared" si="113"/>
        <v>0</v>
      </c>
      <c r="AA438" s="194">
        <f t="shared" si="114"/>
        <v>0</v>
      </c>
    </row>
    <row r="439" spans="1:27" ht="15" customHeight="1">
      <c r="A439" s="23"/>
      <c r="B439" s="465" t="s">
        <v>67</v>
      </c>
      <c r="C439" s="466"/>
      <c r="D439" s="466"/>
      <c r="E439" s="466"/>
      <c r="F439" s="467"/>
      <c r="G439" s="463">
        <v>15000</v>
      </c>
      <c r="H439" s="464"/>
      <c r="I439" s="26">
        <v>0</v>
      </c>
      <c r="J439" s="26">
        <v>0</v>
      </c>
      <c r="K439" s="26">
        <v>0</v>
      </c>
      <c r="L439" s="26">
        <v>0</v>
      </c>
      <c r="M439" s="26">
        <v>0</v>
      </c>
      <c r="N439" s="26">
        <v>0</v>
      </c>
      <c r="O439" s="26">
        <v>0</v>
      </c>
      <c r="P439" s="26">
        <v>0</v>
      </c>
      <c r="Q439" s="26">
        <v>0</v>
      </c>
      <c r="R439" s="26">
        <v>0</v>
      </c>
      <c r="S439" s="26">
        <v>0</v>
      </c>
      <c r="T439" s="70">
        <v>0</v>
      </c>
      <c r="U439" s="71">
        <f t="shared" si="108"/>
        <v>0</v>
      </c>
      <c r="V439" s="128">
        <f t="shared" si="109"/>
        <v>0</v>
      </c>
      <c r="W439" s="128">
        <f t="shared" si="110"/>
        <v>0</v>
      </c>
      <c r="X439" s="128">
        <f t="shared" si="111"/>
        <v>0</v>
      </c>
      <c r="Y439" s="128">
        <f t="shared" si="112"/>
        <v>0</v>
      </c>
      <c r="Z439" s="195">
        <f t="shared" si="113"/>
        <v>0</v>
      </c>
      <c r="AA439" s="194">
        <f t="shared" si="114"/>
        <v>0</v>
      </c>
    </row>
    <row r="440" spans="1:27" ht="15" customHeight="1">
      <c r="A440" s="23"/>
      <c r="B440" s="465" t="s">
        <v>93</v>
      </c>
      <c r="C440" s="466"/>
      <c r="D440" s="466"/>
      <c r="E440" s="466"/>
      <c r="F440" s="467"/>
      <c r="G440" s="463">
        <v>12000</v>
      </c>
      <c r="H440" s="464"/>
      <c r="I440" s="26">
        <v>0</v>
      </c>
      <c r="J440" s="26">
        <v>0</v>
      </c>
      <c r="K440" s="26">
        <v>0</v>
      </c>
      <c r="L440" s="26">
        <v>0</v>
      </c>
      <c r="M440" s="26">
        <v>0</v>
      </c>
      <c r="N440" s="26">
        <v>0</v>
      </c>
      <c r="O440" s="26">
        <v>0</v>
      </c>
      <c r="P440" s="26">
        <v>0</v>
      </c>
      <c r="Q440" s="26">
        <v>0</v>
      </c>
      <c r="R440" s="26">
        <v>0</v>
      </c>
      <c r="S440" s="26">
        <v>0</v>
      </c>
      <c r="T440" s="70">
        <v>0</v>
      </c>
      <c r="U440" s="71">
        <f t="shared" si="108"/>
        <v>0</v>
      </c>
      <c r="V440" s="128">
        <f t="shared" si="109"/>
        <v>0</v>
      </c>
      <c r="W440" s="128">
        <f t="shared" si="110"/>
        <v>0</v>
      </c>
      <c r="X440" s="128">
        <f t="shared" si="111"/>
        <v>0</v>
      </c>
      <c r="Y440" s="128">
        <f t="shared" si="112"/>
        <v>0</v>
      </c>
      <c r="Z440" s="195">
        <f t="shared" si="113"/>
        <v>0</v>
      </c>
      <c r="AA440" s="194">
        <f t="shared" si="114"/>
        <v>0</v>
      </c>
    </row>
    <row r="441" spans="1:27" ht="15" customHeight="1">
      <c r="A441" s="23"/>
      <c r="B441" s="465" t="s">
        <v>69</v>
      </c>
      <c r="C441" s="466"/>
      <c r="D441" s="466"/>
      <c r="E441" s="466"/>
      <c r="F441" s="467"/>
      <c r="G441" s="463">
        <v>4400</v>
      </c>
      <c r="H441" s="464"/>
      <c r="I441" s="26">
        <v>0</v>
      </c>
      <c r="J441" s="26">
        <v>0</v>
      </c>
      <c r="K441" s="26">
        <v>0</v>
      </c>
      <c r="L441" s="26">
        <v>0</v>
      </c>
      <c r="M441" s="26">
        <v>0</v>
      </c>
      <c r="N441" s="26">
        <v>0</v>
      </c>
      <c r="O441" s="26">
        <v>0</v>
      </c>
      <c r="P441" s="26">
        <v>0</v>
      </c>
      <c r="Q441" s="26">
        <v>0</v>
      </c>
      <c r="R441" s="26">
        <v>0</v>
      </c>
      <c r="S441" s="26">
        <v>0</v>
      </c>
      <c r="T441" s="70">
        <v>0</v>
      </c>
      <c r="U441" s="71">
        <f t="shared" si="108"/>
        <v>0</v>
      </c>
      <c r="V441" s="128">
        <f t="shared" si="109"/>
        <v>0</v>
      </c>
      <c r="W441" s="128">
        <f t="shared" si="110"/>
        <v>0</v>
      </c>
      <c r="X441" s="128">
        <f t="shared" si="111"/>
        <v>0</v>
      </c>
      <c r="Y441" s="128">
        <f t="shared" si="112"/>
        <v>0</v>
      </c>
      <c r="Z441" s="195">
        <f t="shared" si="113"/>
        <v>0</v>
      </c>
      <c r="AA441" s="194">
        <f t="shared" si="114"/>
        <v>0</v>
      </c>
    </row>
    <row r="442" spans="1:27" ht="15" customHeight="1">
      <c r="A442" s="23"/>
      <c r="B442" s="465" t="s">
        <v>94</v>
      </c>
      <c r="C442" s="466"/>
      <c r="D442" s="466"/>
      <c r="E442" s="466"/>
      <c r="F442" s="467"/>
      <c r="G442" s="463">
        <v>3200</v>
      </c>
      <c r="H442" s="464"/>
      <c r="I442" s="26">
        <v>0</v>
      </c>
      <c r="J442" s="26">
        <v>0</v>
      </c>
      <c r="K442" s="26">
        <v>0</v>
      </c>
      <c r="L442" s="26">
        <v>0</v>
      </c>
      <c r="M442" s="26">
        <v>0</v>
      </c>
      <c r="N442" s="26">
        <v>0</v>
      </c>
      <c r="O442" s="26">
        <v>0</v>
      </c>
      <c r="P442" s="26">
        <v>0</v>
      </c>
      <c r="Q442" s="26">
        <v>0</v>
      </c>
      <c r="R442" s="26">
        <v>0</v>
      </c>
      <c r="S442" s="26">
        <v>0</v>
      </c>
      <c r="T442" s="70">
        <v>0</v>
      </c>
      <c r="U442" s="71">
        <f t="shared" si="108"/>
        <v>0</v>
      </c>
      <c r="V442" s="128">
        <f t="shared" si="109"/>
        <v>0</v>
      </c>
      <c r="W442" s="128">
        <f t="shared" si="110"/>
        <v>0</v>
      </c>
      <c r="X442" s="128">
        <f t="shared" si="111"/>
        <v>0</v>
      </c>
      <c r="Y442" s="128">
        <f t="shared" si="112"/>
        <v>0</v>
      </c>
      <c r="Z442" s="195">
        <f t="shared" si="113"/>
        <v>0</v>
      </c>
      <c r="AA442" s="194">
        <f t="shared" si="114"/>
        <v>0</v>
      </c>
    </row>
    <row r="443" spans="1:27" ht="15.75" thickBot="1">
      <c r="A443" s="23"/>
      <c r="B443" s="469"/>
      <c r="C443" s="297"/>
      <c r="D443" s="297"/>
      <c r="E443" s="297"/>
      <c r="F443" s="470"/>
      <c r="G443" s="456"/>
      <c r="H443" s="468"/>
      <c r="I443" s="55"/>
      <c r="J443" s="55"/>
      <c r="K443" s="55"/>
      <c r="L443" s="55"/>
      <c r="M443" s="55"/>
      <c r="N443" s="55"/>
      <c r="O443" s="55"/>
      <c r="P443" s="55"/>
      <c r="Q443" s="55"/>
      <c r="R443" s="55"/>
      <c r="S443" s="55"/>
      <c r="T443" s="76"/>
      <c r="U443" s="77"/>
    </row>
    <row r="444" spans="1:27" ht="15.75" thickBot="1">
      <c r="A444" s="23"/>
      <c r="B444" s="257" t="s">
        <v>21</v>
      </c>
      <c r="C444" s="258"/>
      <c r="D444" s="258"/>
      <c r="E444" s="258"/>
      <c r="F444" s="259"/>
      <c r="G444" s="260">
        <f>SUM(G435:H443)</f>
        <v>104428</v>
      </c>
      <c r="H444" s="261"/>
      <c r="I444" s="29">
        <f>SUM(I435:I443)</f>
        <v>0</v>
      </c>
      <c r="J444" s="29"/>
      <c r="K444" s="29"/>
      <c r="L444" s="29">
        <f>SUM(L435:L443)</f>
        <v>12328</v>
      </c>
      <c r="M444" s="29"/>
      <c r="N444" s="29"/>
      <c r="O444" s="29">
        <f>SUM(O435:O443)</f>
        <v>12328</v>
      </c>
      <c r="P444" s="29"/>
      <c r="Q444" s="29"/>
      <c r="R444" s="29">
        <f>SUM(R435:R443)</f>
        <v>12328</v>
      </c>
      <c r="S444" s="30"/>
      <c r="T444" s="73"/>
      <c r="U444" s="71">
        <f t="shared" ref="U444" si="115">R444/G444</f>
        <v>0.11805262956295247</v>
      </c>
      <c r="V444" s="128">
        <f>+I444+O324</f>
        <v>12328</v>
      </c>
      <c r="W444" s="128">
        <f>+O444-V444</f>
        <v>0</v>
      </c>
      <c r="X444" s="128">
        <f>+L444+R324</f>
        <v>12328</v>
      </c>
      <c r="Y444" s="128">
        <f>+R444-X444</f>
        <v>0</v>
      </c>
      <c r="Z444" s="195">
        <f>+X444/G444</f>
        <v>0.11805262956295247</v>
      </c>
      <c r="AA444" s="194">
        <f>+U444-Z444</f>
        <v>0</v>
      </c>
    </row>
    <row r="445" spans="1:27" ht="15.75" thickBot="1">
      <c r="C445" s="32"/>
      <c r="I445" s="33"/>
      <c r="L445" s="33"/>
      <c r="N445" s="33"/>
      <c r="O445" s="151">
        <f>SUM(O432,O444)</f>
        <v>318328</v>
      </c>
      <c r="P445" s="130"/>
      <c r="Q445" s="130"/>
      <c r="R445" s="151">
        <f>SUM(R432,R444)</f>
        <v>107330.6</v>
      </c>
      <c r="U445" s="33"/>
    </row>
    <row r="446" spans="1:27" ht="15.75" thickBot="1">
      <c r="B446" s="262" t="s">
        <v>31</v>
      </c>
      <c r="C446" s="263"/>
      <c r="D446" s="263"/>
      <c r="E446" s="263"/>
      <c r="F446" s="263"/>
      <c r="G446" s="263"/>
      <c r="H446" s="263"/>
      <c r="I446" s="263"/>
      <c r="J446" s="263"/>
      <c r="K446" s="263"/>
      <c r="L446" s="263"/>
      <c r="M446" s="263"/>
      <c r="N446" s="263"/>
      <c r="O446" s="263"/>
      <c r="P446" s="263"/>
      <c r="Q446" s="263"/>
      <c r="R446" s="263"/>
      <c r="S446" s="263"/>
      <c r="T446" s="263"/>
      <c r="U446" s="263"/>
      <c r="V446" s="34"/>
    </row>
    <row r="447" spans="1:27" ht="15" customHeight="1" thickBot="1">
      <c r="B447" s="264"/>
      <c r="C447" s="265"/>
      <c r="D447" s="267" t="s">
        <v>15</v>
      </c>
      <c r="E447" s="268"/>
      <c r="F447" s="268"/>
      <c r="G447" s="268"/>
      <c r="H447" s="268"/>
      <c r="I447" s="269"/>
      <c r="J447" s="267" t="s">
        <v>32</v>
      </c>
      <c r="K447" s="268"/>
      <c r="L447" s="268"/>
      <c r="M447" s="268"/>
      <c r="N447" s="268"/>
      <c r="O447" s="269"/>
      <c r="P447" s="267" t="s">
        <v>17</v>
      </c>
      <c r="Q447" s="268"/>
      <c r="R447" s="268"/>
      <c r="S447" s="268"/>
      <c r="T447" s="268"/>
      <c r="U447" s="35"/>
    </row>
    <row r="448" spans="1:27" ht="15.75" customHeight="1" thickBot="1">
      <c r="B448" s="219"/>
      <c r="C448" s="266"/>
      <c r="D448" s="270" t="s">
        <v>26</v>
      </c>
      <c r="E448" s="271"/>
      <c r="F448" s="272" t="s">
        <v>27</v>
      </c>
      <c r="G448" s="273"/>
      <c r="H448" s="268" t="s">
        <v>28</v>
      </c>
      <c r="I448" s="269"/>
      <c r="J448" s="272" t="s">
        <v>26</v>
      </c>
      <c r="K448" s="273"/>
      <c r="L448" s="272" t="s">
        <v>27</v>
      </c>
      <c r="M448" s="273"/>
      <c r="N448" s="268" t="s">
        <v>28</v>
      </c>
      <c r="O448" s="269"/>
      <c r="P448" s="272" t="s">
        <v>26</v>
      </c>
      <c r="Q448" s="273"/>
      <c r="R448" s="272" t="s">
        <v>27</v>
      </c>
      <c r="S448" s="273"/>
      <c r="T448" s="268" t="s">
        <v>28</v>
      </c>
      <c r="U448" s="269"/>
    </row>
    <row r="449" spans="1:21" ht="30" customHeight="1">
      <c r="A449" s="23"/>
      <c r="B449" s="250" t="s">
        <v>33</v>
      </c>
      <c r="C449" s="251"/>
      <c r="D449" s="252">
        <v>675408</v>
      </c>
      <c r="E449" s="253"/>
      <c r="F449" s="252">
        <v>0</v>
      </c>
      <c r="G449" s="253"/>
      <c r="H449" s="252">
        <v>0</v>
      </c>
      <c r="I449" s="253"/>
      <c r="J449" s="254">
        <v>20279.25</v>
      </c>
      <c r="K449" s="255"/>
      <c r="L449" s="240">
        <v>0</v>
      </c>
      <c r="M449" s="253"/>
      <c r="N449" s="240">
        <v>0</v>
      </c>
      <c r="O449" s="256"/>
      <c r="P449" s="254">
        <f>23416.71+27887.03+23419.61+20279.25</f>
        <v>95002.6</v>
      </c>
      <c r="Q449" s="255"/>
      <c r="R449" s="240">
        <v>0</v>
      </c>
      <c r="S449" s="253"/>
      <c r="T449" s="240">
        <v>0</v>
      </c>
      <c r="U449" s="241"/>
    </row>
    <row r="450" spans="1:21" ht="30" customHeight="1" thickBot="1">
      <c r="A450" s="4"/>
      <c r="B450" s="242" t="s">
        <v>34</v>
      </c>
      <c r="C450" s="243"/>
      <c r="D450" s="244">
        <v>104428</v>
      </c>
      <c r="E450" s="245"/>
      <c r="F450" s="244">
        <v>0</v>
      </c>
      <c r="G450" s="245"/>
      <c r="H450" s="244">
        <v>0</v>
      </c>
      <c r="I450" s="245"/>
      <c r="J450" s="244">
        <v>12328</v>
      </c>
      <c r="K450" s="245"/>
      <c r="L450" s="246">
        <v>0</v>
      </c>
      <c r="M450" s="245"/>
      <c r="N450" s="246">
        <v>0</v>
      </c>
      <c r="O450" s="247"/>
      <c r="P450" s="248">
        <f>12328</f>
        <v>12328</v>
      </c>
      <c r="Q450" s="249"/>
      <c r="R450" s="246">
        <v>0</v>
      </c>
      <c r="S450" s="245"/>
      <c r="T450" s="246">
        <v>0</v>
      </c>
      <c r="U450" s="247"/>
    </row>
    <row r="451" spans="1:21" ht="15.75" thickBot="1">
      <c r="A451" s="23"/>
      <c r="B451" s="233" t="s">
        <v>21</v>
      </c>
      <c r="C451" s="234"/>
      <c r="D451" s="235">
        <f>SUM(D449:E450)</f>
        <v>779836</v>
      </c>
      <c r="E451" s="236"/>
      <c r="F451" s="235">
        <f>SUM(F449:G450)</f>
        <v>0</v>
      </c>
      <c r="G451" s="236"/>
      <c r="H451" s="235">
        <f>SUM(H449:I450)</f>
        <v>0</v>
      </c>
      <c r="I451" s="236"/>
      <c r="J451" s="237">
        <f>SUM(J449:K450)</f>
        <v>32607.25</v>
      </c>
      <c r="K451" s="238"/>
      <c r="L451" s="215">
        <f>SUM(L449:M450)</f>
        <v>0</v>
      </c>
      <c r="M451" s="238"/>
      <c r="N451" s="236">
        <f>SUM(N449:O450)</f>
        <v>0</v>
      </c>
      <c r="O451" s="236"/>
      <c r="P451" s="237">
        <f>SUM(P449:Q450)</f>
        <v>107330.6</v>
      </c>
      <c r="Q451" s="239"/>
      <c r="R451" s="215">
        <f>SUM(R449:S450)</f>
        <v>0</v>
      </c>
      <c r="S451" s="238"/>
      <c r="T451" s="215">
        <f>SUM(T449:U450)</f>
        <v>0</v>
      </c>
      <c r="U451" s="216"/>
    </row>
    <row r="452" spans="1:21">
      <c r="A452" s="23"/>
      <c r="B452" s="60"/>
      <c r="C452" s="60"/>
      <c r="D452" s="60"/>
      <c r="E452" s="60"/>
      <c r="F452" s="57"/>
      <c r="G452" s="57"/>
      <c r="H452" s="62"/>
      <c r="I452" s="62"/>
      <c r="J452" s="57"/>
      <c r="K452" s="57"/>
      <c r="L452" s="57"/>
      <c r="M452" s="62"/>
      <c r="N452" s="57"/>
      <c r="O452" s="62"/>
      <c r="P452" s="62"/>
      <c r="Q452" s="57"/>
      <c r="R452" s="23"/>
      <c r="S452" s="23"/>
      <c r="T452" s="23"/>
      <c r="U452" s="23"/>
    </row>
    <row r="453" spans="1:21" ht="15.75" thickBot="1">
      <c r="A453" s="23"/>
      <c r="B453" s="60"/>
      <c r="C453" s="60"/>
      <c r="D453" s="60"/>
      <c r="E453" s="60"/>
      <c r="F453" s="57"/>
      <c r="G453" s="57"/>
      <c r="H453" s="57"/>
      <c r="I453" s="57"/>
      <c r="J453" s="57"/>
      <c r="K453" s="57"/>
      <c r="L453" s="57"/>
      <c r="M453" s="57"/>
      <c r="N453" s="57"/>
      <c r="O453" s="57"/>
      <c r="P453" s="57"/>
      <c r="Q453" s="57"/>
      <c r="R453" s="23"/>
      <c r="S453" s="23"/>
      <c r="T453" s="23"/>
      <c r="U453" s="23"/>
    </row>
    <row r="454" spans="1:21" ht="15.75" thickBot="1">
      <c r="B454" s="217" t="s">
        <v>35</v>
      </c>
      <c r="C454" s="218"/>
      <c r="D454" s="218"/>
      <c r="E454" s="219"/>
      <c r="F454" s="205"/>
      <c r="G454" s="205"/>
      <c r="H454" s="205"/>
      <c r="I454" s="205"/>
      <c r="J454" s="205"/>
      <c r="K454" s="205"/>
      <c r="L454" s="205"/>
      <c r="M454" s="205"/>
      <c r="N454" s="205"/>
      <c r="O454" s="205"/>
      <c r="P454" s="205"/>
      <c r="Q454" s="205"/>
      <c r="R454" s="205"/>
      <c r="S454" s="205"/>
      <c r="T454" s="205"/>
      <c r="U454" s="205"/>
    </row>
    <row r="455" spans="1:21">
      <c r="B455" s="444"/>
      <c r="C455" s="445"/>
      <c r="D455" s="445"/>
      <c r="E455" s="445"/>
      <c r="F455" s="445"/>
      <c r="G455" s="445"/>
      <c r="H455" s="445"/>
      <c r="I455" s="445"/>
      <c r="J455" s="445"/>
      <c r="K455" s="445"/>
      <c r="L455" s="445"/>
      <c r="M455" s="445"/>
      <c r="N455" s="445"/>
      <c r="O455" s="445"/>
      <c r="P455" s="445"/>
      <c r="Q455" s="445"/>
      <c r="R455" s="445"/>
      <c r="S455" s="445"/>
      <c r="T455" s="445"/>
      <c r="U455" s="446"/>
    </row>
    <row r="456" spans="1:21">
      <c r="B456" s="447"/>
      <c r="C456" s="448"/>
      <c r="D456" s="448"/>
      <c r="E456" s="448"/>
      <c r="F456" s="448"/>
      <c r="G456" s="448"/>
      <c r="H456" s="448"/>
      <c r="I456" s="448"/>
      <c r="J456" s="448"/>
      <c r="K456" s="448"/>
      <c r="L456" s="448"/>
      <c r="M456" s="448"/>
      <c r="N456" s="448"/>
      <c r="O456" s="448"/>
      <c r="P456" s="448"/>
      <c r="Q456" s="448"/>
      <c r="R456" s="448"/>
      <c r="S456" s="448"/>
      <c r="T456" s="448"/>
      <c r="U456" s="449"/>
    </row>
    <row r="457" spans="1:21">
      <c r="B457" s="447"/>
      <c r="C457" s="448"/>
      <c r="D457" s="448"/>
      <c r="E457" s="448"/>
      <c r="F457" s="448"/>
      <c r="G457" s="448"/>
      <c r="H457" s="448"/>
      <c r="I457" s="448"/>
      <c r="J457" s="448"/>
      <c r="K457" s="448"/>
      <c r="L457" s="448"/>
      <c r="M457" s="448"/>
      <c r="N457" s="448"/>
      <c r="O457" s="448"/>
      <c r="P457" s="448"/>
      <c r="Q457" s="448"/>
      <c r="R457" s="448"/>
      <c r="S457" s="448"/>
      <c r="T457" s="448"/>
      <c r="U457" s="449"/>
    </row>
    <row r="458" spans="1:21">
      <c r="B458" s="447"/>
      <c r="C458" s="448"/>
      <c r="D458" s="448"/>
      <c r="E458" s="448"/>
      <c r="F458" s="448"/>
      <c r="G458" s="448"/>
      <c r="H458" s="448"/>
      <c r="I458" s="448"/>
      <c r="J458" s="448"/>
      <c r="K458" s="448"/>
      <c r="L458" s="448"/>
      <c r="M458" s="448"/>
      <c r="N458" s="448"/>
      <c r="O458" s="448"/>
      <c r="P458" s="448"/>
      <c r="Q458" s="448"/>
      <c r="R458" s="448"/>
      <c r="S458" s="448"/>
      <c r="T458" s="448"/>
      <c r="U458" s="449"/>
    </row>
    <row r="459" spans="1:21">
      <c r="B459" s="447"/>
      <c r="C459" s="448"/>
      <c r="D459" s="448"/>
      <c r="E459" s="448"/>
      <c r="F459" s="448"/>
      <c r="G459" s="448"/>
      <c r="H459" s="448"/>
      <c r="I459" s="448"/>
      <c r="J459" s="448"/>
      <c r="K459" s="448"/>
      <c r="L459" s="448"/>
      <c r="M459" s="448"/>
      <c r="N459" s="448"/>
      <c r="O459" s="448"/>
      <c r="P459" s="448"/>
      <c r="Q459" s="448"/>
      <c r="R459" s="448"/>
      <c r="S459" s="448"/>
      <c r="T459" s="448"/>
      <c r="U459" s="449"/>
    </row>
    <row r="460" spans="1:21">
      <c r="B460" s="447"/>
      <c r="C460" s="448"/>
      <c r="D460" s="448"/>
      <c r="E460" s="448"/>
      <c r="F460" s="448"/>
      <c r="G460" s="448"/>
      <c r="H460" s="448"/>
      <c r="I460" s="448"/>
      <c r="J460" s="448"/>
      <c r="K460" s="448"/>
      <c r="L460" s="448"/>
      <c r="M460" s="448"/>
      <c r="N460" s="448"/>
      <c r="O460" s="448"/>
      <c r="P460" s="448"/>
      <c r="Q460" s="448"/>
      <c r="R460" s="448"/>
      <c r="S460" s="448"/>
      <c r="T460" s="448"/>
      <c r="U460" s="449"/>
    </row>
    <row r="461" spans="1:21" ht="15.75" thickBot="1">
      <c r="B461" s="450"/>
      <c r="C461" s="451"/>
      <c r="D461" s="451"/>
      <c r="E461" s="451"/>
      <c r="F461" s="451"/>
      <c r="G461" s="451"/>
      <c r="H461" s="451"/>
      <c r="I461" s="451"/>
      <c r="J461" s="451"/>
      <c r="K461" s="451"/>
      <c r="L461" s="451"/>
      <c r="M461" s="451"/>
      <c r="N461" s="451"/>
      <c r="O461" s="451"/>
      <c r="P461" s="451"/>
      <c r="Q461" s="451"/>
      <c r="R461" s="451"/>
      <c r="S461" s="451"/>
      <c r="T461" s="451"/>
      <c r="U461" s="452"/>
    </row>
    <row r="462" spans="1:21">
      <c r="B462" s="23"/>
    </row>
    <row r="463" spans="1:21">
      <c r="H463" s="40"/>
      <c r="I463" s="40"/>
      <c r="O463" s="40"/>
      <c r="Q463" s="40"/>
    </row>
    <row r="464" spans="1:21">
      <c r="B464" s="220" t="s">
        <v>38</v>
      </c>
      <c r="C464" s="220"/>
      <c r="D464" s="220"/>
      <c r="E464" s="220"/>
      <c r="F464" s="220"/>
      <c r="G464" s="220"/>
      <c r="I464" s="41"/>
      <c r="J464" s="213" t="s">
        <v>36</v>
      </c>
      <c r="K464" s="213"/>
      <c r="L464" s="213"/>
      <c r="M464" s="213"/>
      <c r="N464" s="213"/>
      <c r="O464" s="213"/>
      <c r="R464" s="213" t="s">
        <v>37</v>
      </c>
      <c r="S464" s="213"/>
      <c r="T464" s="213"/>
      <c r="U464" s="213"/>
    </row>
    <row r="465" spans="2:21">
      <c r="B465" s="220"/>
      <c r="C465" s="220"/>
      <c r="D465" s="220"/>
      <c r="E465" s="220"/>
      <c r="F465" s="220"/>
      <c r="G465" s="220"/>
      <c r="H465" s="42"/>
      <c r="I465" s="42"/>
      <c r="J465" s="221"/>
      <c r="K465" s="221"/>
      <c r="L465" s="221"/>
      <c r="M465" s="221"/>
      <c r="N465" s="221"/>
      <c r="O465" s="221"/>
      <c r="P465" s="42"/>
      <c r="Q465" s="42"/>
      <c r="R465" s="210" t="s">
        <v>0</v>
      </c>
      <c r="S465" s="210"/>
      <c r="T465" s="210"/>
      <c r="U465" s="210"/>
    </row>
    <row r="466" spans="2:21">
      <c r="B466" s="220"/>
      <c r="C466" s="220"/>
      <c r="D466" s="220"/>
      <c r="E466" s="220"/>
      <c r="F466" s="220"/>
      <c r="G466" s="220"/>
      <c r="H466" s="167"/>
      <c r="I466" s="167"/>
      <c r="J466" s="221"/>
      <c r="K466" s="221"/>
      <c r="L466" s="221"/>
      <c r="M466" s="221"/>
      <c r="N466" s="221"/>
      <c r="O466" s="221"/>
      <c r="P466" s="167"/>
      <c r="Q466" s="167"/>
      <c r="R466" s="210"/>
      <c r="S466" s="210"/>
      <c r="T466" s="210"/>
      <c r="U466" s="210"/>
    </row>
    <row r="467" spans="2:21">
      <c r="B467" s="220"/>
      <c r="C467" s="220"/>
      <c r="D467" s="220"/>
      <c r="E467" s="220"/>
      <c r="F467" s="220"/>
      <c r="G467" s="220"/>
      <c r="H467" s="167"/>
      <c r="I467" s="167"/>
      <c r="J467" s="221"/>
      <c r="K467" s="221"/>
      <c r="L467" s="221"/>
      <c r="M467" s="221"/>
      <c r="N467" s="221"/>
      <c r="O467" s="221"/>
      <c r="P467" s="167"/>
      <c r="Q467" s="167"/>
      <c r="R467" s="210"/>
      <c r="S467" s="210"/>
      <c r="T467" s="210"/>
      <c r="U467" s="210"/>
    </row>
    <row r="468" spans="2:21">
      <c r="B468" s="220"/>
      <c r="C468" s="220"/>
      <c r="D468" s="220"/>
      <c r="E468" s="220"/>
      <c r="F468" s="220"/>
      <c r="G468" s="220"/>
      <c r="H468" s="167"/>
      <c r="I468" s="167"/>
      <c r="J468" s="221"/>
      <c r="K468" s="221"/>
      <c r="L468" s="221"/>
      <c r="M468" s="221"/>
      <c r="N468" s="221"/>
      <c r="O468" s="221"/>
      <c r="P468" s="167"/>
      <c r="Q468" s="167"/>
      <c r="R468" s="210"/>
      <c r="S468" s="210"/>
      <c r="T468" s="210"/>
      <c r="U468" s="210"/>
    </row>
    <row r="469" spans="2:21" ht="15.75" thickBot="1">
      <c r="B469" s="223"/>
      <c r="C469" s="223"/>
      <c r="D469" s="223"/>
      <c r="E469" s="223"/>
      <c r="F469" s="223"/>
      <c r="G469" s="223"/>
      <c r="J469" s="222"/>
      <c r="K469" s="222"/>
      <c r="L469" s="222"/>
      <c r="M469" s="222"/>
      <c r="N469" s="222"/>
      <c r="O469" s="222"/>
      <c r="R469" s="205"/>
      <c r="S469" s="205"/>
      <c r="T469" s="205"/>
      <c r="U469" s="205"/>
    </row>
    <row r="470" spans="2:21">
      <c r="B470" s="210" t="s">
        <v>101</v>
      </c>
      <c r="C470" s="210"/>
      <c r="D470" s="210"/>
      <c r="E470" s="210"/>
      <c r="F470" s="210"/>
      <c r="G470" s="210"/>
      <c r="J470" s="204" t="s">
        <v>102</v>
      </c>
      <c r="K470" s="204"/>
      <c r="L470" s="204"/>
      <c r="M470" s="204"/>
      <c r="N470" s="204"/>
      <c r="O470" s="204"/>
      <c r="R470" s="211" t="s">
        <v>136</v>
      </c>
      <c r="S470" s="211"/>
      <c r="T470" s="211"/>
      <c r="U470" s="211"/>
    </row>
    <row r="471" spans="2:21">
      <c r="B471" s="204" t="s">
        <v>103</v>
      </c>
      <c r="C471" s="204"/>
      <c r="D471" s="204"/>
      <c r="E471" s="204"/>
      <c r="F471" s="204"/>
      <c r="G471" s="204"/>
      <c r="J471" s="212" t="s">
        <v>104</v>
      </c>
      <c r="K471" s="212"/>
      <c r="L471" s="212"/>
      <c r="M471" s="212"/>
      <c r="N471" s="212"/>
      <c r="O471" s="212"/>
      <c r="P471" s="118"/>
      <c r="Q471" s="118"/>
      <c r="R471" s="212" t="s">
        <v>105</v>
      </c>
      <c r="S471" s="212"/>
      <c r="T471" s="212"/>
      <c r="U471" s="212"/>
    </row>
    <row r="473" spans="2:21">
      <c r="J473" s="213" t="s">
        <v>50</v>
      </c>
      <c r="K473" s="213"/>
      <c r="L473" s="213"/>
      <c r="M473" s="213"/>
      <c r="N473" s="213"/>
      <c r="O473" s="213"/>
    </row>
    <row r="474" spans="2:21">
      <c r="C474" s="214" t="s">
        <v>157</v>
      </c>
      <c r="D474" s="214"/>
      <c r="E474" s="214"/>
      <c r="F474" s="214"/>
      <c r="J474" s="206" t="s">
        <v>48</v>
      </c>
      <c r="K474" s="206"/>
      <c r="L474" s="206"/>
      <c r="M474" s="206"/>
      <c r="N474" s="206"/>
      <c r="O474" s="206"/>
      <c r="R474" s="206" t="s">
        <v>51</v>
      </c>
      <c r="S474" s="206"/>
      <c r="T474" s="206"/>
      <c r="U474" s="206"/>
    </row>
    <row r="475" spans="2:21">
      <c r="B475" s="204"/>
      <c r="C475" s="204"/>
      <c r="D475" s="204"/>
      <c r="E475" s="204"/>
      <c r="F475" s="204"/>
      <c r="G475" s="204"/>
      <c r="J475" s="206"/>
      <c r="K475" s="206"/>
      <c r="L475" s="206"/>
      <c r="M475" s="206"/>
      <c r="N475" s="206"/>
      <c r="O475" s="206"/>
      <c r="R475" s="204"/>
      <c r="S475" s="204"/>
      <c r="T475" s="204"/>
      <c r="U475" s="204"/>
    </row>
    <row r="476" spans="2:21">
      <c r="B476" s="204"/>
      <c r="C476" s="204"/>
      <c r="D476" s="204"/>
      <c r="E476" s="204"/>
      <c r="F476" s="204"/>
      <c r="G476" s="204"/>
      <c r="J476" s="206"/>
      <c r="K476" s="206"/>
      <c r="L476" s="206"/>
      <c r="M476" s="206"/>
      <c r="N476" s="206"/>
      <c r="O476" s="206"/>
      <c r="R476" s="204"/>
      <c r="S476" s="204"/>
      <c r="T476" s="204"/>
      <c r="U476" s="204"/>
    </row>
    <row r="477" spans="2:21">
      <c r="B477" s="204"/>
      <c r="C477" s="204"/>
      <c r="D477" s="204"/>
      <c r="E477" s="204"/>
      <c r="F477" s="204"/>
      <c r="G477" s="204"/>
      <c r="J477" s="206"/>
      <c r="K477" s="206"/>
      <c r="L477" s="206"/>
      <c r="M477" s="206"/>
      <c r="N477" s="206"/>
      <c r="O477" s="206"/>
      <c r="R477" s="204"/>
      <c r="S477" s="204"/>
      <c r="T477" s="204"/>
      <c r="U477" s="204"/>
    </row>
    <row r="478" spans="2:21" ht="15.75" thickBot="1">
      <c r="B478" s="205"/>
      <c r="C478" s="205"/>
      <c r="D478" s="205"/>
      <c r="E478" s="205"/>
      <c r="F478" s="205"/>
      <c r="G478" s="205"/>
      <c r="H478" s="51"/>
      <c r="I478" s="51"/>
      <c r="J478" s="207"/>
      <c r="K478" s="207"/>
      <c r="L478" s="207"/>
      <c r="M478" s="207"/>
      <c r="N478" s="207"/>
      <c r="O478" s="207"/>
      <c r="P478" s="51"/>
      <c r="Q478" s="51"/>
      <c r="R478" s="205"/>
      <c r="S478" s="205"/>
      <c r="T478" s="205"/>
      <c r="U478" s="205"/>
    </row>
    <row r="479" spans="2:21">
      <c r="B479" s="208" t="s">
        <v>106</v>
      </c>
      <c r="C479" s="208"/>
      <c r="D479" s="208"/>
      <c r="E479" s="208"/>
      <c r="F479" s="208"/>
      <c r="G479" s="208"/>
      <c r="H479" s="119"/>
      <c r="I479" s="119"/>
      <c r="J479" s="208" t="s">
        <v>107</v>
      </c>
      <c r="K479" s="208"/>
      <c r="L479" s="208"/>
      <c r="M479" s="208"/>
      <c r="N479" s="208"/>
      <c r="O479" s="208"/>
      <c r="P479" s="51"/>
      <c r="Q479" s="51"/>
      <c r="R479" s="208" t="s">
        <v>108</v>
      </c>
      <c r="S479" s="208"/>
      <c r="T479" s="208"/>
      <c r="U479" s="208"/>
    </row>
    <row r="480" spans="2:21" ht="32.25" customHeight="1">
      <c r="B480" s="209" t="s">
        <v>109</v>
      </c>
      <c r="C480" s="209"/>
      <c r="D480" s="209"/>
      <c r="E480" s="209"/>
      <c r="F480" s="209"/>
      <c r="G480" s="209"/>
      <c r="J480" s="209" t="s">
        <v>110</v>
      </c>
      <c r="K480" s="209"/>
      <c r="L480" s="209"/>
      <c r="M480" s="209"/>
      <c r="N480" s="209"/>
      <c r="O480" s="209"/>
      <c r="R480" s="209" t="s">
        <v>111</v>
      </c>
      <c r="S480" s="209"/>
      <c r="T480" s="209"/>
      <c r="U480" s="209"/>
    </row>
    <row r="482" spans="1:21" ht="23.25">
      <c r="B482" s="426" t="s">
        <v>95</v>
      </c>
      <c r="C482" s="426"/>
      <c r="D482" s="426"/>
      <c r="E482" s="426"/>
      <c r="F482" s="426"/>
      <c r="G482" s="426"/>
      <c r="H482" s="426"/>
      <c r="I482" s="426"/>
      <c r="J482" s="426"/>
      <c r="K482" s="426"/>
      <c r="L482" s="426"/>
      <c r="M482" s="426"/>
      <c r="N482" s="426"/>
      <c r="O482" s="426"/>
      <c r="P482" s="426"/>
      <c r="Q482" s="426"/>
      <c r="R482" s="426"/>
      <c r="S482" s="426"/>
      <c r="T482" s="426"/>
      <c r="U482" s="426"/>
    </row>
    <row r="485" spans="1:21" ht="15" customHeight="1"/>
    <row r="486" spans="1:21" ht="15" customHeight="1">
      <c r="F486" s="1"/>
      <c r="G486" s="1"/>
      <c r="H486" s="1"/>
      <c r="I486" s="1"/>
      <c r="J486" s="1"/>
      <c r="K486" s="1"/>
      <c r="L486" s="1"/>
      <c r="M486" s="1"/>
      <c r="N486" s="1"/>
      <c r="O486" s="1"/>
    </row>
    <row r="487" spans="1:21" ht="15" customHeight="1">
      <c r="B487" s="427" t="s">
        <v>125</v>
      </c>
      <c r="C487" s="427"/>
      <c r="D487" s="427"/>
      <c r="E487" s="427"/>
      <c r="F487" s="427"/>
      <c r="G487" s="427"/>
      <c r="H487" s="427"/>
      <c r="I487" s="427"/>
      <c r="J487" s="427"/>
      <c r="K487" s="427"/>
      <c r="L487" s="427"/>
      <c r="M487" s="427"/>
      <c r="N487" s="427"/>
      <c r="O487" s="427"/>
      <c r="P487" s="427"/>
      <c r="Q487" s="427"/>
      <c r="R487" s="427"/>
      <c r="S487" s="427"/>
      <c r="T487" s="427"/>
      <c r="U487" s="427"/>
    </row>
    <row r="488" spans="1:21" ht="15" customHeight="1">
      <c r="F488" t="s">
        <v>0</v>
      </c>
    </row>
    <row r="489" spans="1:21" ht="15" customHeight="1">
      <c r="B489" s="2"/>
      <c r="C489" s="2"/>
      <c r="D489" s="2"/>
      <c r="E489" s="2"/>
      <c r="F489" s="2"/>
      <c r="G489" s="2"/>
      <c r="H489" s="2"/>
      <c r="I489" s="2"/>
      <c r="J489" s="2"/>
      <c r="K489" s="2"/>
      <c r="L489" s="2"/>
      <c r="M489" s="2"/>
      <c r="N489" s="2"/>
      <c r="O489" s="2"/>
      <c r="P489" s="2"/>
      <c r="Q489" s="2"/>
      <c r="R489" s="2"/>
      <c r="S489" s="2"/>
      <c r="T489" s="2"/>
      <c r="U489" s="2"/>
    </row>
    <row r="490" spans="1:21" ht="15" customHeight="1" thickBot="1">
      <c r="B490" s="3"/>
      <c r="C490" s="3"/>
      <c r="D490" s="3"/>
      <c r="E490" s="3"/>
      <c r="F490" s="3"/>
      <c r="G490" s="3"/>
      <c r="H490" s="3"/>
      <c r="I490" s="3"/>
      <c r="J490" s="3"/>
      <c r="K490" s="3"/>
      <c r="L490" s="3"/>
      <c r="M490" s="3"/>
      <c r="N490" s="3"/>
      <c r="O490" s="3"/>
      <c r="P490" s="3"/>
      <c r="Q490" s="3"/>
      <c r="R490" s="3"/>
      <c r="S490" s="3"/>
      <c r="T490" s="3"/>
      <c r="U490" s="3"/>
    </row>
    <row r="491" spans="1:21" ht="15" customHeight="1">
      <c r="B491" s="385" t="s">
        <v>1</v>
      </c>
      <c r="C491" s="386"/>
      <c r="D491" s="386"/>
      <c r="E491" s="386"/>
      <c r="F491" s="387"/>
      <c r="G491" s="428" t="s">
        <v>164</v>
      </c>
      <c r="H491" s="429"/>
      <c r="I491" s="429"/>
      <c r="J491" s="429"/>
      <c r="K491" s="429"/>
      <c r="L491" s="429"/>
      <c r="M491" s="429"/>
      <c r="N491" s="429"/>
      <c r="O491" s="429"/>
      <c r="P491" s="429"/>
      <c r="Q491" s="429"/>
      <c r="R491" s="429"/>
      <c r="S491" s="429"/>
      <c r="T491" s="429"/>
      <c r="U491" s="430"/>
    </row>
    <row r="492" spans="1:21" ht="15" customHeight="1">
      <c r="A492" s="4"/>
      <c r="B492" s="431" t="s">
        <v>2</v>
      </c>
      <c r="C492" s="432"/>
      <c r="D492" s="432"/>
      <c r="E492" s="432"/>
      <c r="F492" s="433"/>
      <c r="G492" s="434" t="s">
        <v>163</v>
      </c>
      <c r="H492" s="435"/>
      <c r="I492" s="435"/>
      <c r="J492" s="435"/>
      <c r="K492" s="435"/>
      <c r="L492" s="435"/>
      <c r="M492" s="435"/>
      <c r="N492" s="435"/>
      <c r="O492" s="435"/>
      <c r="P492" s="435"/>
      <c r="Q492" s="435"/>
      <c r="R492" s="435"/>
      <c r="S492" s="435"/>
      <c r="T492" s="435"/>
      <c r="U492" s="436"/>
    </row>
    <row r="493" spans="1:21" ht="15" customHeight="1">
      <c r="A493" s="4"/>
      <c r="B493" s="385" t="s">
        <v>3</v>
      </c>
      <c r="C493" s="386"/>
      <c r="D493" s="386"/>
      <c r="E493" s="386"/>
      <c r="F493" s="387"/>
      <c r="G493" s="437" t="s">
        <v>156</v>
      </c>
      <c r="H493" s="438"/>
      <c r="I493" s="438"/>
      <c r="J493" s="438"/>
      <c r="K493" s="438"/>
      <c r="L493" s="438"/>
      <c r="M493" s="438"/>
      <c r="N493" s="438"/>
      <c r="O493" s="438"/>
      <c r="P493" s="438"/>
      <c r="Q493" s="438"/>
      <c r="R493" s="438"/>
      <c r="S493" s="438"/>
      <c r="T493" s="438"/>
      <c r="U493" s="439"/>
    </row>
    <row r="494" spans="1:21" ht="15" customHeight="1">
      <c r="A494" s="4"/>
      <c r="B494" s="385" t="s">
        <v>4</v>
      </c>
      <c r="C494" s="386"/>
      <c r="D494" s="386"/>
      <c r="E494" s="386"/>
      <c r="F494" s="387"/>
      <c r="G494" s="440" t="s">
        <v>165</v>
      </c>
      <c r="H494" s="441"/>
      <c r="I494" s="441"/>
      <c r="J494" s="441"/>
      <c r="K494" s="441"/>
      <c r="L494" s="441"/>
      <c r="M494" s="441"/>
      <c r="N494" s="441"/>
      <c r="O494" s="441"/>
      <c r="P494" s="441"/>
      <c r="Q494" s="441"/>
      <c r="R494" s="441"/>
      <c r="S494" s="441"/>
      <c r="T494" s="441"/>
      <c r="U494" s="442"/>
    </row>
    <row r="495" spans="1:21" ht="15" customHeight="1">
      <c r="A495" s="4"/>
      <c r="B495" s="385" t="s">
        <v>5</v>
      </c>
      <c r="C495" s="386"/>
      <c r="D495" s="386"/>
      <c r="E495" s="386"/>
      <c r="F495" s="387"/>
      <c r="G495" s="410" t="s">
        <v>6</v>
      </c>
      <c r="H495" s="411"/>
      <c r="I495" s="412">
        <v>779836</v>
      </c>
      <c r="J495" s="413"/>
      <c r="K495" s="413"/>
      <c r="L495" s="414"/>
      <c r="M495" s="5" t="s">
        <v>7</v>
      </c>
      <c r="N495" s="412">
        <v>0</v>
      </c>
      <c r="O495" s="413"/>
      <c r="P495" s="413"/>
      <c r="Q495" s="414"/>
      <c r="R495" s="415" t="s">
        <v>8</v>
      </c>
      <c r="S495" s="416"/>
      <c r="T495" s="412">
        <v>0</v>
      </c>
      <c r="U495" s="417"/>
    </row>
    <row r="496" spans="1:21">
      <c r="A496" s="4"/>
      <c r="B496" s="385" t="s">
        <v>9</v>
      </c>
      <c r="C496" s="386"/>
      <c r="D496" s="386"/>
      <c r="E496" s="386"/>
      <c r="F496" s="387"/>
      <c r="G496" s="418" t="s">
        <v>6</v>
      </c>
      <c r="H496" s="419"/>
      <c r="I496" s="412">
        <v>0</v>
      </c>
      <c r="J496" s="413"/>
      <c r="K496" s="413"/>
      <c r="L496" s="414"/>
      <c r="M496" s="5" t="s">
        <v>7</v>
      </c>
      <c r="N496" s="420">
        <v>0</v>
      </c>
      <c r="O496" s="421"/>
      <c r="P496" s="421"/>
      <c r="Q496" s="422"/>
      <c r="R496" s="423"/>
      <c r="S496" s="424"/>
      <c r="T496" s="424"/>
      <c r="U496" s="425"/>
    </row>
    <row r="497" spans="1:27" ht="15.75" thickBot="1">
      <c r="A497" s="4"/>
      <c r="B497" s="385" t="s">
        <v>10</v>
      </c>
      <c r="C497" s="386"/>
      <c r="D497" s="386"/>
      <c r="E497" s="386"/>
      <c r="F497" s="387"/>
      <c r="G497" s="388" t="s">
        <v>98</v>
      </c>
      <c r="H497" s="389"/>
      <c r="I497" s="389"/>
      <c r="J497" s="389"/>
      <c r="K497" s="389"/>
      <c r="L497" s="389"/>
      <c r="M497" s="389"/>
      <c r="N497" s="389"/>
      <c r="O497" s="389"/>
      <c r="P497" s="389"/>
      <c r="Q497" s="389"/>
      <c r="R497" s="389"/>
      <c r="S497" s="389"/>
      <c r="T497" s="389"/>
      <c r="U497" s="390"/>
    </row>
    <row r="498" spans="1:27" ht="15.75" customHeight="1" thickBot="1">
      <c r="A498" s="4"/>
      <c r="B498" s="391" t="s">
        <v>11</v>
      </c>
      <c r="C498" s="392"/>
      <c r="D498" s="392"/>
      <c r="E498" s="392"/>
      <c r="F498" s="393"/>
      <c r="G498" s="394" t="s">
        <v>118</v>
      </c>
      <c r="H498" s="395"/>
      <c r="I498" s="395"/>
      <c r="J498" s="395"/>
      <c r="K498" s="395"/>
      <c r="L498" s="395"/>
      <c r="M498" s="395"/>
      <c r="N498" s="395"/>
      <c r="O498" s="395"/>
      <c r="P498" s="395"/>
      <c r="Q498" s="395"/>
      <c r="R498" s="395"/>
      <c r="S498" s="395"/>
      <c r="T498" s="395"/>
      <c r="U498" s="396"/>
    </row>
    <row r="499" spans="1:27" ht="15.75" thickBot="1">
      <c r="B499" s="397"/>
      <c r="C499" s="397"/>
      <c r="D499" s="397"/>
      <c r="E499" s="397"/>
      <c r="F499" s="397"/>
      <c r="G499" s="397"/>
      <c r="H499" s="397"/>
      <c r="I499" s="397"/>
      <c r="J499" s="397"/>
      <c r="K499" s="397"/>
      <c r="L499" s="397"/>
      <c r="M499" s="397"/>
      <c r="N499" s="397"/>
      <c r="O499" s="397"/>
      <c r="P499" s="397"/>
      <c r="Q499" s="397"/>
      <c r="R499" s="397"/>
      <c r="S499" s="397"/>
      <c r="T499" s="397"/>
      <c r="U499" s="397"/>
    </row>
    <row r="500" spans="1:27" ht="16.5" thickBot="1">
      <c r="A500" s="4"/>
      <c r="B500" s="306" t="s">
        <v>12</v>
      </c>
      <c r="C500" s="307"/>
      <c r="D500" s="308"/>
      <c r="E500" s="307" t="s">
        <v>13</v>
      </c>
      <c r="F500" s="308"/>
      <c r="G500" s="312" t="s">
        <v>14</v>
      </c>
      <c r="H500" s="313"/>
      <c r="I500" s="313"/>
      <c r="J500" s="313"/>
      <c r="K500" s="313"/>
      <c r="L500" s="313"/>
      <c r="M500" s="313"/>
      <c r="N500" s="313"/>
      <c r="O500" s="313"/>
      <c r="P500" s="313"/>
      <c r="Q500" s="313"/>
      <c r="R500" s="313"/>
      <c r="S500" s="313"/>
      <c r="T500" s="313"/>
      <c r="U500" s="314"/>
    </row>
    <row r="501" spans="1:27" ht="15.75" thickBot="1">
      <c r="A501" s="4"/>
      <c r="B501" s="309"/>
      <c r="C501" s="310"/>
      <c r="D501" s="311"/>
      <c r="E501" s="310"/>
      <c r="F501" s="311"/>
      <c r="G501" s="315" t="s">
        <v>15</v>
      </c>
      <c r="H501" s="316"/>
      <c r="I501" s="267" t="s">
        <v>16</v>
      </c>
      <c r="J501" s="268"/>
      <c r="K501" s="268"/>
      <c r="L501" s="268"/>
      <c r="M501" s="268"/>
      <c r="N501" s="269"/>
      <c r="O501" s="403" t="s">
        <v>17</v>
      </c>
      <c r="P501" s="404"/>
      <c r="Q501" s="404"/>
      <c r="R501" s="404"/>
      <c r="S501" s="404"/>
      <c r="T501" s="404"/>
      <c r="U501" s="405"/>
    </row>
    <row r="502" spans="1:27">
      <c r="A502" s="4"/>
      <c r="B502" s="309"/>
      <c r="C502" s="310"/>
      <c r="D502" s="311"/>
      <c r="E502" s="310"/>
      <c r="F502" s="311"/>
      <c r="G502" s="317"/>
      <c r="H502" s="318"/>
      <c r="I502" s="315" t="s">
        <v>18</v>
      </c>
      <c r="J502" s="406"/>
      <c r="K502" s="406"/>
      <c r="L502" s="315" t="s">
        <v>19</v>
      </c>
      <c r="M502" s="406"/>
      <c r="N502" s="316"/>
      <c r="O502" s="408" t="s">
        <v>18</v>
      </c>
      <c r="P502" s="409"/>
      <c r="Q502" s="409"/>
      <c r="R502" s="315" t="s">
        <v>19</v>
      </c>
      <c r="S502" s="406"/>
      <c r="T502" s="406"/>
      <c r="U502" s="326" t="s">
        <v>20</v>
      </c>
      <c r="V502" s="200" t="s">
        <v>153</v>
      </c>
      <c r="W502" s="201"/>
      <c r="X502" s="200" t="s">
        <v>154</v>
      </c>
      <c r="Y502" s="201"/>
      <c r="Z502" s="200" t="s">
        <v>155</v>
      </c>
      <c r="AA502" s="201"/>
    </row>
    <row r="503" spans="1:27" ht="15.75" thickBot="1">
      <c r="A503" s="4"/>
      <c r="B503" s="398"/>
      <c r="C503" s="399"/>
      <c r="D503" s="400"/>
      <c r="E503" s="399"/>
      <c r="F503" s="400"/>
      <c r="G503" s="401"/>
      <c r="H503" s="402"/>
      <c r="I503" s="401"/>
      <c r="J503" s="407"/>
      <c r="K503" s="407"/>
      <c r="L503" s="401"/>
      <c r="M503" s="407"/>
      <c r="N503" s="402"/>
      <c r="O503" s="401"/>
      <c r="P503" s="407"/>
      <c r="Q503" s="407"/>
      <c r="R503" s="401"/>
      <c r="S503" s="407"/>
      <c r="T503" s="407"/>
      <c r="U503" s="327"/>
      <c r="V503" s="202"/>
      <c r="W503" s="203"/>
      <c r="X503" s="202"/>
      <c r="Y503" s="203"/>
      <c r="Z503" s="202"/>
      <c r="AA503" s="203"/>
    </row>
    <row r="504" spans="1:27">
      <c r="A504" s="4"/>
      <c r="B504" s="372" t="s">
        <v>59</v>
      </c>
      <c r="C504" s="373"/>
      <c r="D504" s="374"/>
      <c r="E504" s="375"/>
      <c r="F504" s="376"/>
      <c r="G504" s="377"/>
      <c r="H504" s="378"/>
      <c r="I504" s="379"/>
      <c r="J504" s="380"/>
      <c r="K504" s="378"/>
      <c r="L504" s="381"/>
      <c r="M504" s="380"/>
      <c r="N504" s="382"/>
      <c r="O504" s="383"/>
      <c r="P504" s="384"/>
      <c r="Q504" s="384"/>
      <c r="R504" s="384"/>
      <c r="S504" s="384"/>
      <c r="T504" s="384"/>
      <c r="U504" s="53"/>
    </row>
    <row r="505" spans="1:27">
      <c r="A505" s="4"/>
      <c r="B505" s="354" t="s">
        <v>76</v>
      </c>
      <c r="C505" s="362"/>
      <c r="D505" s="363"/>
      <c r="E505" s="364"/>
      <c r="F505" s="365"/>
      <c r="G505" s="366"/>
      <c r="H505" s="367"/>
      <c r="I505" s="371"/>
      <c r="J505" s="370"/>
      <c r="K505" s="370"/>
      <c r="L505" s="370"/>
      <c r="M505" s="370"/>
      <c r="N505" s="365"/>
      <c r="O505" s="371"/>
      <c r="P505" s="370"/>
      <c r="Q505" s="370"/>
      <c r="R505" s="370"/>
      <c r="S505" s="370"/>
      <c r="T505" s="370"/>
      <c r="U505" s="95"/>
    </row>
    <row r="506" spans="1:27">
      <c r="A506" s="4"/>
      <c r="B506" s="328" t="s">
        <v>56</v>
      </c>
      <c r="C506" s="329"/>
      <c r="D506" s="330"/>
      <c r="E506" s="331" t="s">
        <v>58</v>
      </c>
      <c r="F506" s="332"/>
      <c r="G506" s="348">
        <v>170</v>
      </c>
      <c r="H506" s="359"/>
      <c r="I506" s="350">
        <v>0</v>
      </c>
      <c r="J506" s="351"/>
      <c r="K506" s="349"/>
      <c r="L506" s="350">
        <v>0</v>
      </c>
      <c r="M506" s="351"/>
      <c r="N506" s="352"/>
      <c r="O506" s="353">
        <v>170</v>
      </c>
      <c r="P506" s="351"/>
      <c r="Q506" s="349"/>
      <c r="R506" s="350">
        <v>170</v>
      </c>
      <c r="S506" s="351"/>
      <c r="T506" s="349"/>
      <c r="U506" s="6">
        <f t="shared" ref="U506" si="116">R506/G506</f>
        <v>1</v>
      </c>
      <c r="V506" s="193">
        <f>+I506+O386</f>
        <v>170</v>
      </c>
      <c r="W506" s="193">
        <f>+O506-V506</f>
        <v>0</v>
      </c>
      <c r="X506" s="193">
        <f>+L506+R386</f>
        <v>170</v>
      </c>
      <c r="Y506" s="193">
        <f>+R506-X506</f>
        <v>0</v>
      </c>
      <c r="Z506" s="195">
        <f>+X506/G506</f>
        <v>1</v>
      </c>
      <c r="AA506" s="194">
        <f>+U506-Z506</f>
        <v>0</v>
      </c>
    </row>
    <row r="507" spans="1:27">
      <c r="A507" s="4"/>
      <c r="B507" s="328" t="s">
        <v>57</v>
      </c>
      <c r="C507" s="329"/>
      <c r="D507" s="330"/>
      <c r="E507" s="331" t="s">
        <v>58</v>
      </c>
      <c r="F507" s="332"/>
      <c r="G507" s="348">
        <v>4405</v>
      </c>
      <c r="H507" s="349"/>
      <c r="I507" s="350">
        <v>418</v>
      </c>
      <c r="J507" s="351"/>
      <c r="K507" s="349"/>
      <c r="L507" s="350">
        <v>340</v>
      </c>
      <c r="M507" s="351"/>
      <c r="N507" s="352"/>
      <c r="O507" s="353">
        <f>340+340+340+417+418</f>
        <v>1855</v>
      </c>
      <c r="P507" s="351"/>
      <c r="Q507" s="349"/>
      <c r="R507" s="350">
        <f>339+339+338+420+340</f>
        <v>1776</v>
      </c>
      <c r="S507" s="351"/>
      <c r="T507" s="349"/>
      <c r="U507" s="54">
        <f>R507/G507</f>
        <v>0.4031782065834279</v>
      </c>
      <c r="V507" s="193">
        <f>+I507+O387</f>
        <v>1855</v>
      </c>
      <c r="W507" s="193">
        <f>+O507-V507</f>
        <v>0</v>
      </c>
      <c r="X507" s="193">
        <f>+L507+R387</f>
        <v>1776</v>
      </c>
      <c r="Y507" s="193">
        <f>+R507-X507</f>
        <v>0</v>
      </c>
      <c r="Z507" s="195">
        <f>+X507/G507</f>
        <v>0.4031782065834279</v>
      </c>
      <c r="AA507" s="194">
        <f>+U507-Z507</f>
        <v>0</v>
      </c>
    </row>
    <row r="508" spans="1:27" ht="15" customHeight="1">
      <c r="A508" s="4"/>
      <c r="B508" s="354" t="s">
        <v>77</v>
      </c>
      <c r="C508" s="362"/>
      <c r="D508" s="363"/>
      <c r="E508" s="364"/>
      <c r="F508" s="365"/>
      <c r="G508" s="366"/>
      <c r="H508" s="367"/>
      <c r="I508" s="371"/>
      <c r="J508" s="370"/>
      <c r="K508" s="370"/>
      <c r="L508" s="370"/>
      <c r="M508" s="370"/>
      <c r="N508" s="365"/>
      <c r="O508" s="371"/>
      <c r="P508" s="370"/>
      <c r="Q508" s="370"/>
      <c r="R508" s="370"/>
      <c r="S508" s="370"/>
      <c r="T508" s="370"/>
      <c r="U508" s="95"/>
    </row>
    <row r="509" spans="1:27">
      <c r="A509" s="4"/>
      <c r="B509" s="328" t="s">
        <v>56</v>
      </c>
      <c r="C509" s="329"/>
      <c r="D509" s="330"/>
      <c r="E509" s="331" t="s">
        <v>58</v>
      </c>
      <c r="F509" s="332"/>
      <c r="G509" s="348">
        <v>35</v>
      </c>
      <c r="H509" s="359"/>
      <c r="I509" s="350">
        <v>0</v>
      </c>
      <c r="J509" s="351"/>
      <c r="K509" s="349"/>
      <c r="L509" s="350">
        <v>0</v>
      </c>
      <c r="M509" s="351"/>
      <c r="N509" s="352"/>
      <c r="O509" s="353">
        <v>35</v>
      </c>
      <c r="P509" s="351"/>
      <c r="Q509" s="349"/>
      <c r="R509" s="350">
        <v>35</v>
      </c>
      <c r="S509" s="351"/>
      <c r="T509" s="349"/>
      <c r="U509" s="6">
        <f t="shared" ref="U509" si="117">R509/G509</f>
        <v>1</v>
      </c>
      <c r="V509" s="193">
        <f t="shared" ref="V509:V510" si="118">+I509+O389</f>
        <v>35</v>
      </c>
      <c r="W509" s="193">
        <f t="shared" ref="W509:W510" si="119">+O509-V509</f>
        <v>0</v>
      </c>
      <c r="X509" s="193">
        <f t="shared" ref="X509:X510" si="120">+L509+R389</f>
        <v>35</v>
      </c>
      <c r="Y509" s="193">
        <f t="shared" ref="Y509:Y510" si="121">+R509-X509</f>
        <v>0</v>
      </c>
      <c r="Z509" s="195">
        <f t="shared" ref="Z509:Z510" si="122">+X509/G509</f>
        <v>1</v>
      </c>
      <c r="AA509" s="194">
        <f t="shared" ref="AA509:AA510" si="123">+U509-Z509</f>
        <v>0</v>
      </c>
    </row>
    <row r="510" spans="1:27">
      <c r="A510" s="4"/>
      <c r="B510" s="328" t="s">
        <v>57</v>
      </c>
      <c r="C510" s="329"/>
      <c r="D510" s="330"/>
      <c r="E510" s="331" t="s">
        <v>58</v>
      </c>
      <c r="F510" s="332"/>
      <c r="G510" s="348">
        <v>907</v>
      </c>
      <c r="H510" s="349"/>
      <c r="I510" s="360">
        <v>84</v>
      </c>
      <c r="J510" s="341"/>
      <c r="K510" s="361"/>
      <c r="L510" s="350">
        <v>69</v>
      </c>
      <c r="M510" s="351"/>
      <c r="N510" s="352"/>
      <c r="O510" s="353">
        <f>70+70+70+88+84</f>
        <v>382</v>
      </c>
      <c r="P510" s="351"/>
      <c r="Q510" s="349"/>
      <c r="R510" s="350">
        <f>70+70+70+88+69</f>
        <v>367</v>
      </c>
      <c r="S510" s="351"/>
      <c r="T510" s="349"/>
      <c r="U510" s="54">
        <f>R510/G510</f>
        <v>0.40463065049614111</v>
      </c>
      <c r="V510" s="193">
        <f t="shared" si="118"/>
        <v>382</v>
      </c>
      <c r="W510" s="193">
        <f t="shared" si="119"/>
        <v>0</v>
      </c>
      <c r="X510" s="193">
        <f t="shared" si="120"/>
        <v>367</v>
      </c>
      <c r="Y510" s="193">
        <f t="shared" si="121"/>
        <v>0</v>
      </c>
      <c r="Z510" s="195">
        <f t="shared" si="122"/>
        <v>0.40463065049614111</v>
      </c>
      <c r="AA510" s="194">
        <f t="shared" si="123"/>
        <v>0</v>
      </c>
    </row>
    <row r="511" spans="1:27" ht="15" customHeight="1">
      <c r="A511" s="4"/>
      <c r="B511" s="354" t="s">
        <v>78</v>
      </c>
      <c r="C511" s="362"/>
      <c r="D511" s="363"/>
      <c r="E511" s="364"/>
      <c r="F511" s="365"/>
      <c r="G511" s="366"/>
      <c r="H511" s="367"/>
      <c r="I511" s="368"/>
      <c r="J511" s="369"/>
      <c r="K511" s="369"/>
      <c r="L511" s="370"/>
      <c r="M511" s="370"/>
      <c r="N511" s="365"/>
      <c r="O511" s="371"/>
      <c r="P511" s="370"/>
      <c r="Q511" s="370"/>
      <c r="R511" s="370"/>
      <c r="S511" s="370"/>
      <c r="T511" s="370"/>
      <c r="U511" s="95"/>
    </row>
    <row r="512" spans="1:27">
      <c r="A512" s="4"/>
      <c r="B512" s="328" t="s">
        <v>56</v>
      </c>
      <c r="C512" s="329"/>
      <c r="D512" s="330"/>
      <c r="E512" s="331" t="s">
        <v>58</v>
      </c>
      <c r="F512" s="332"/>
      <c r="G512" s="348">
        <v>35</v>
      </c>
      <c r="H512" s="359"/>
      <c r="I512" s="360">
        <v>0</v>
      </c>
      <c r="J512" s="341"/>
      <c r="K512" s="361"/>
      <c r="L512" s="350">
        <v>0</v>
      </c>
      <c r="M512" s="351"/>
      <c r="N512" s="352"/>
      <c r="O512" s="353">
        <v>35</v>
      </c>
      <c r="P512" s="351"/>
      <c r="Q512" s="349"/>
      <c r="R512" s="350">
        <v>35</v>
      </c>
      <c r="S512" s="351"/>
      <c r="T512" s="349"/>
      <c r="U512" s="6">
        <f t="shared" ref="U512" si="124">R512/G512</f>
        <v>1</v>
      </c>
      <c r="V512" s="193">
        <f t="shared" ref="V512:V513" si="125">+I512+O392</f>
        <v>35</v>
      </c>
      <c r="W512" s="193">
        <f t="shared" ref="W512:W513" si="126">+O512-V512</f>
        <v>0</v>
      </c>
      <c r="X512" s="193">
        <f t="shared" ref="X512:X513" si="127">+L512+R392</f>
        <v>35</v>
      </c>
      <c r="Y512" s="193">
        <f t="shared" ref="Y512:Y513" si="128">+R512-X512</f>
        <v>0</v>
      </c>
      <c r="Z512" s="195">
        <f t="shared" ref="Z512:Z513" si="129">+X512/G512</f>
        <v>1</v>
      </c>
      <c r="AA512" s="194">
        <f t="shared" ref="AA512:AA513" si="130">+U512-Z512</f>
        <v>0</v>
      </c>
    </row>
    <row r="513" spans="1:27">
      <c r="A513" s="4"/>
      <c r="B513" s="328" t="s">
        <v>57</v>
      </c>
      <c r="C513" s="329"/>
      <c r="D513" s="330"/>
      <c r="E513" s="331" t="s">
        <v>58</v>
      </c>
      <c r="F513" s="332"/>
      <c r="G513" s="348">
        <v>907</v>
      </c>
      <c r="H513" s="349"/>
      <c r="I513" s="360">
        <v>84</v>
      </c>
      <c r="J513" s="341"/>
      <c r="K513" s="361"/>
      <c r="L513" s="350">
        <v>69</v>
      </c>
      <c r="M513" s="351"/>
      <c r="N513" s="352"/>
      <c r="O513" s="353">
        <f>70+70+70+88+84</f>
        <v>382</v>
      </c>
      <c r="P513" s="351"/>
      <c r="Q513" s="349"/>
      <c r="R513" s="350">
        <f>70+70+70+88+69</f>
        <v>367</v>
      </c>
      <c r="S513" s="351"/>
      <c r="T513" s="349"/>
      <c r="U513" s="54">
        <f>R513/G513</f>
        <v>0.40463065049614111</v>
      </c>
      <c r="V513" s="193">
        <f t="shared" si="125"/>
        <v>382</v>
      </c>
      <c r="W513" s="193">
        <f t="shared" si="126"/>
        <v>0</v>
      </c>
      <c r="X513" s="193">
        <f t="shared" si="127"/>
        <v>367</v>
      </c>
      <c r="Y513" s="193">
        <f t="shared" si="128"/>
        <v>0</v>
      </c>
      <c r="Z513" s="195">
        <f t="shared" si="129"/>
        <v>0.40463065049614111</v>
      </c>
      <c r="AA513" s="194">
        <f t="shared" si="130"/>
        <v>0</v>
      </c>
    </row>
    <row r="514" spans="1:27" ht="15" customHeight="1">
      <c r="A514" s="4"/>
      <c r="B514" s="354" t="s">
        <v>79</v>
      </c>
      <c r="C514" s="362"/>
      <c r="D514" s="363"/>
      <c r="E514" s="364"/>
      <c r="F514" s="365"/>
      <c r="G514" s="366"/>
      <c r="H514" s="367"/>
      <c r="I514" s="368"/>
      <c r="J514" s="369"/>
      <c r="K514" s="369"/>
      <c r="L514" s="370"/>
      <c r="M514" s="370"/>
      <c r="N514" s="365"/>
      <c r="O514" s="371"/>
      <c r="P514" s="370"/>
      <c r="Q514" s="370"/>
      <c r="R514" s="370"/>
      <c r="S514" s="370"/>
      <c r="T514" s="370"/>
      <c r="U514" s="95"/>
    </row>
    <row r="515" spans="1:27">
      <c r="A515" s="4"/>
      <c r="B515" s="328" t="s">
        <v>56</v>
      </c>
      <c r="C515" s="329"/>
      <c r="D515" s="330"/>
      <c r="E515" s="331" t="s">
        <v>58</v>
      </c>
      <c r="F515" s="332"/>
      <c r="G515" s="348">
        <v>96</v>
      </c>
      <c r="H515" s="359"/>
      <c r="I515" s="360">
        <v>0</v>
      </c>
      <c r="J515" s="341"/>
      <c r="K515" s="361"/>
      <c r="L515" s="350">
        <v>0</v>
      </c>
      <c r="M515" s="351"/>
      <c r="N515" s="352"/>
      <c r="O515" s="353">
        <v>96</v>
      </c>
      <c r="P515" s="351"/>
      <c r="Q515" s="349"/>
      <c r="R515" s="350">
        <v>96</v>
      </c>
      <c r="S515" s="351"/>
      <c r="T515" s="349"/>
      <c r="U515" s="54">
        <f t="shared" ref="U515" si="131">R515/G515</f>
        <v>1</v>
      </c>
      <c r="V515" s="193">
        <f t="shared" ref="V515:V516" si="132">+I515+O395</f>
        <v>96</v>
      </c>
      <c r="W515" s="193">
        <f t="shared" ref="W515:W516" si="133">+O515-V515</f>
        <v>0</v>
      </c>
      <c r="X515" s="193">
        <f t="shared" ref="X515:X516" si="134">+L515+R395</f>
        <v>96</v>
      </c>
      <c r="Y515" s="193">
        <f t="shared" ref="Y515:Y516" si="135">+R515-X515</f>
        <v>0</v>
      </c>
      <c r="Z515" s="195">
        <f t="shared" ref="Z515:Z516" si="136">+X515/G515</f>
        <v>1</v>
      </c>
      <c r="AA515" s="194">
        <f t="shared" ref="AA515:AA516" si="137">+U515-Z515</f>
        <v>0</v>
      </c>
    </row>
    <row r="516" spans="1:27">
      <c r="A516" s="4"/>
      <c r="B516" s="328" t="s">
        <v>57</v>
      </c>
      <c r="C516" s="329"/>
      <c r="D516" s="330"/>
      <c r="E516" s="331" t="s">
        <v>58</v>
      </c>
      <c r="F516" s="332"/>
      <c r="G516" s="348">
        <v>1440</v>
      </c>
      <c r="H516" s="349"/>
      <c r="I516" s="360">
        <v>258</v>
      </c>
      <c r="J516" s="341"/>
      <c r="K516" s="361"/>
      <c r="L516" s="350">
        <v>258</v>
      </c>
      <c r="M516" s="351"/>
      <c r="N516" s="352"/>
      <c r="O516" s="353">
        <f>126+258</f>
        <v>384</v>
      </c>
      <c r="P516" s="351"/>
      <c r="Q516" s="349"/>
      <c r="R516" s="350">
        <f>126+258</f>
        <v>384</v>
      </c>
      <c r="S516" s="351"/>
      <c r="T516" s="349"/>
      <c r="U516" s="54">
        <f>R516/G516</f>
        <v>0.26666666666666666</v>
      </c>
      <c r="V516" s="193">
        <f t="shared" si="132"/>
        <v>384</v>
      </c>
      <c r="W516" s="193">
        <f t="shared" si="133"/>
        <v>0</v>
      </c>
      <c r="X516" s="193">
        <f t="shared" si="134"/>
        <v>384</v>
      </c>
      <c r="Y516" s="193">
        <f t="shared" si="135"/>
        <v>0</v>
      </c>
      <c r="Z516" s="195">
        <f t="shared" si="136"/>
        <v>0.26666666666666666</v>
      </c>
      <c r="AA516" s="194">
        <f t="shared" si="137"/>
        <v>0</v>
      </c>
    </row>
    <row r="517" spans="1:27">
      <c r="A517" s="4"/>
      <c r="B517" s="354" t="s">
        <v>63</v>
      </c>
      <c r="C517" s="355"/>
      <c r="D517" s="356"/>
      <c r="E517" s="357"/>
      <c r="F517" s="358"/>
      <c r="G517" s="348"/>
      <c r="H517" s="349"/>
      <c r="I517" s="360"/>
      <c r="J517" s="341"/>
      <c r="K517" s="361"/>
      <c r="L517" s="353"/>
      <c r="M517" s="351"/>
      <c r="N517" s="352"/>
      <c r="O517" s="353"/>
      <c r="P517" s="351"/>
      <c r="Q517" s="351"/>
      <c r="R517" s="351"/>
      <c r="S517" s="351"/>
      <c r="T517" s="351"/>
      <c r="U517" s="6"/>
    </row>
    <row r="518" spans="1:27">
      <c r="A518" s="4"/>
      <c r="B518" s="328" t="s">
        <v>60</v>
      </c>
      <c r="C518" s="329"/>
      <c r="D518" s="330"/>
      <c r="E518" s="331" t="s">
        <v>58</v>
      </c>
      <c r="F518" s="332"/>
      <c r="G518" s="348">
        <v>12</v>
      </c>
      <c r="H518" s="359"/>
      <c r="I518" s="350">
        <v>0</v>
      </c>
      <c r="J518" s="351"/>
      <c r="K518" s="349"/>
      <c r="L518" s="350">
        <v>0</v>
      </c>
      <c r="M518" s="351"/>
      <c r="N518" s="352"/>
      <c r="O518" s="353">
        <v>0</v>
      </c>
      <c r="P518" s="351"/>
      <c r="Q518" s="349"/>
      <c r="R518" s="350">
        <v>0</v>
      </c>
      <c r="S518" s="351"/>
      <c r="T518" s="349"/>
      <c r="U518" s="54">
        <f>R518/G518</f>
        <v>0</v>
      </c>
      <c r="V518" s="193">
        <f>+I518+O398</f>
        <v>0</v>
      </c>
      <c r="W518" s="193">
        <f>+O518-V518</f>
        <v>0</v>
      </c>
      <c r="X518" s="193">
        <f>+L518+R398</f>
        <v>0</v>
      </c>
      <c r="Y518" s="193">
        <f>+R518-X518</f>
        <v>0</v>
      </c>
      <c r="Z518" s="195">
        <f>+X518/G518</f>
        <v>0</v>
      </c>
      <c r="AA518" s="194">
        <f>+U518-Z518</f>
        <v>0</v>
      </c>
    </row>
    <row r="519" spans="1:27">
      <c r="A519" s="4"/>
      <c r="B519" s="354" t="s">
        <v>61</v>
      </c>
      <c r="C519" s="355"/>
      <c r="D519" s="356"/>
      <c r="E519" s="357"/>
      <c r="F519" s="358"/>
      <c r="G519" s="348"/>
      <c r="H519" s="349"/>
      <c r="I519" s="350"/>
      <c r="J519" s="351"/>
      <c r="K519" s="349"/>
      <c r="L519" s="353"/>
      <c r="M519" s="351"/>
      <c r="N519" s="352"/>
      <c r="O519" s="353"/>
      <c r="P519" s="351"/>
      <c r="Q519" s="351"/>
      <c r="R519" s="351"/>
      <c r="S519" s="351"/>
      <c r="T519" s="351"/>
      <c r="U519" s="6"/>
    </row>
    <row r="520" spans="1:27" ht="15" customHeight="1">
      <c r="A520" s="4"/>
      <c r="B520" s="328" t="s">
        <v>61</v>
      </c>
      <c r="C520" s="329"/>
      <c r="D520" s="330"/>
      <c r="E520" s="331" t="s">
        <v>58</v>
      </c>
      <c r="F520" s="332"/>
      <c r="G520" s="348">
        <v>15</v>
      </c>
      <c r="H520" s="349"/>
      <c r="I520" s="350">
        <v>0</v>
      </c>
      <c r="J520" s="351"/>
      <c r="K520" s="349"/>
      <c r="L520" s="350">
        <v>0</v>
      </c>
      <c r="M520" s="351"/>
      <c r="N520" s="352"/>
      <c r="O520" s="353">
        <v>0</v>
      </c>
      <c r="P520" s="351"/>
      <c r="Q520" s="349"/>
      <c r="R520" s="350">
        <v>0</v>
      </c>
      <c r="S520" s="351"/>
      <c r="T520" s="349"/>
      <c r="U520" s="54">
        <f>R520/G520</f>
        <v>0</v>
      </c>
      <c r="V520" s="193">
        <f>+I520+O400</f>
        <v>0</v>
      </c>
      <c r="W520" s="193">
        <f>+O520-V520</f>
        <v>0</v>
      </c>
      <c r="X520" s="193">
        <f>+L520+R400</f>
        <v>0</v>
      </c>
      <c r="Y520" s="193">
        <f>+R520-X520</f>
        <v>0</v>
      </c>
      <c r="Z520" s="195">
        <f>+X520/G520</f>
        <v>0</v>
      </c>
      <c r="AA520" s="194">
        <f>+U520-Z520</f>
        <v>0</v>
      </c>
    </row>
    <row r="521" spans="1:27" ht="15" customHeight="1">
      <c r="A521" s="4"/>
      <c r="B521" s="354" t="s">
        <v>62</v>
      </c>
      <c r="C521" s="355"/>
      <c r="D521" s="356"/>
      <c r="E521" s="357"/>
      <c r="F521" s="358"/>
      <c r="G521" s="348"/>
      <c r="H521" s="349"/>
      <c r="I521" s="350"/>
      <c r="J521" s="351"/>
      <c r="K521" s="349"/>
      <c r="L521" s="353"/>
      <c r="M521" s="351"/>
      <c r="N521" s="352"/>
      <c r="O521" s="353"/>
      <c r="P521" s="351"/>
      <c r="Q521" s="351"/>
      <c r="R521" s="351"/>
      <c r="S521" s="351"/>
      <c r="T521" s="351"/>
      <c r="U521" s="6"/>
    </row>
    <row r="522" spans="1:27" ht="15" customHeight="1" thickBot="1">
      <c r="A522" s="4"/>
      <c r="B522" s="328" t="s">
        <v>62</v>
      </c>
      <c r="C522" s="329"/>
      <c r="D522" s="330"/>
      <c r="E522" s="331" t="s">
        <v>58</v>
      </c>
      <c r="F522" s="332"/>
      <c r="G522" s="333">
        <v>1</v>
      </c>
      <c r="H522" s="334"/>
      <c r="I522" s="335">
        <v>0</v>
      </c>
      <c r="J522" s="336"/>
      <c r="K522" s="334"/>
      <c r="L522" s="458">
        <v>0</v>
      </c>
      <c r="M522" s="336"/>
      <c r="N522" s="459"/>
      <c r="O522" s="353">
        <v>0</v>
      </c>
      <c r="P522" s="351"/>
      <c r="Q522" s="351"/>
      <c r="R522" s="351">
        <v>0</v>
      </c>
      <c r="S522" s="351"/>
      <c r="T522" s="351"/>
      <c r="U522" s="54">
        <f>R522/G522</f>
        <v>0</v>
      </c>
      <c r="V522" s="193">
        <f>+I522+O402</f>
        <v>0</v>
      </c>
      <c r="W522" s="193">
        <f>+O522-V522</f>
        <v>0</v>
      </c>
      <c r="X522" s="193">
        <f>+L522+R402</f>
        <v>0</v>
      </c>
      <c r="Y522" s="193">
        <f>+R522-X522</f>
        <v>0</v>
      </c>
      <c r="Z522" s="195">
        <f>+X522/G522</f>
        <v>0</v>
      </c>
      <c r="AA522" s="194">
        <f>+U522-Z522</f>
        <v>0</v>
      </c>
    </row>
    <row r="523" spans="1:27" ht="15.75" thickBot="1">
      <c r="A523" s="4"/>
      <c r="B523" s="342" t="s">
        <v>21</v>
      </c>
      <c r="C523" s="343"/>
      <c r="D523" s="343"/>
      <c r="E523" s="343"/>
      <c r="F523" s="344"/>
      <c r="G523" s="345"/>
      <c r="H523" s="346"/>
      <c r="I523" s="346"/>
      <c r="J523" s="346"/>
      <c r="K523" s="346"/>
      <c r="L523" s="346"/>
      <c r="M523" s="346"/>
      <c r="N523" s="347"/>
      <c r="O523" s="345"/>
      <c r="P523" s="346"/>
      <c r="Q523" s="346"/>
      <c r="R523" s="346"/>
      <c r="S523" s="346"/>
      <c r="T523" s="346"/>
      <c r="U523" s="347"/>
    </row>
    <row r="524" spans="1:27" ht="15.75" thickBot="1">
      <c r="B524" s="7"/>
      <c r="C524" s="8"/>
      <c r="D524" s="9"/>
      <c r="E524" s="10"/>
      <c r="F524" s="11"/>
      <c r="G524" s="12"/>
      <c r="H524" s="13"/>
      <c r="I524" s="14"/>
      <c r="J524" s="14"/>
      <c r="K524" s="15"/>
      <c r="L524" s="14"/>
      <c r="M524" s="15"/>
      <c r="N524" s="14"/>
      <c r="O524" s="14"/>
      <c r="P524" s="14"/>
      <c r="Q524" s="14"/>
      <c r="R524" s="15"/>
      <c r="S524" s="14"/>
      <c r="T524" s="12"/>
      <c r="U524" s="14"/>
    </row>
    <row r="525" spans="1:27" ht="16.5" customHeight="1" thickBot="1">
      <c r="A525" s="4"/>
      <c r="B525" s="306" t="s">
        <v>22</v>
      </c>
      <c r="C525" s="307"/>
      <c r="D525" s="307"/>
      <c r="E525" s="307"/>
      <c r="F525" s="308"/>
      <c r="G525" s="312" t="s">
        <v>129</v>
      </c>
      <c r="H525" s="313"/>
      <c r="I525" s="313"/>
      <c r="J525" s="313"/>
      <c r="K525" s="313"/>
      <c r="L525" s="313"/>
      <c r="M525" s="313"/>
      <c r="N525" s="313"/>
      <c r="O525" s="313"/>
      <c r="P525" s="313"/>
      <c r="Q525" s="313"/>
      <c r="R525" s="313"/>
      <c r="S525" s="313"/>
      <c r="T525" s="313"/>
      <c r="U525" s="314"/>
    </row>
    <row r="526" spans="1:27" ht="15.75" thickBot="1">
      <c r="A526" s="4"/>
      <c r="B526" s="309"/>
      <c r="C526" s="310"/>
      <c r="D526" s="310"/>
      <c r="E526" s="310"/>
      <c r="F526" s="311"/>
      <c r="G526" s="315" t="s">
        <v>24</v>
      </c>
      <c r="H526" s="316"/>
      <c r="I526" s="310" t="s">
        <v>16</v>
      </c>
      <c r="J526" s="310"/>
      <c r="K526" s="310"/>
      <c r="L526" s="310"/>
      <c r="M526" s="310"/>
      <c r="N526" s="311"/>
      <c r="O526" s="321" t="s">
        <v>17</v>
      </c>
      <c r="P526" s="322"/>
      <c r="Q526" s="322"/>
      <c r="R526" s="322"/>
      <c r="S526" s="322"/>
      <c r="T526" s="322"/>
      <c r="U526" s="323"/>
    </row>
    <row r="527" spans="1:27" ht="15.75" customHeight="1" thickBot="1">
      <c r="A527" s="4"/>
      <c r="B527" s="309"/>
      <c r="C527" s="310"/>
      <c r="D527" s="310"/>
      <c r="E527" s="310"/>
      <c r="F527" s="311"/>
      <c r="G527" s="317"/>
      <c r="H527" s="318"/>
      <c r="I527" s="267" t="s">
        <v>18</v>
      </c>
      <c r="J527" s="268"/>
      <c r="K527" s="269"/>
      <c r="L527" s="267" t="s">
        <v>25</v>
      </c>
      <c r="M527" s="268"/>
      <c r="N527" s="269"/>
      <c r="O527" s="267" t="s">
        <v>18</v>
      </c>
      <c r="P527" s="268"/>
      <c r="Q527" s="324"/>
      <c r="R527" s="325" t="s">
        <v>25</v>
      </c>
      <c r="S527" s="268"/>
      <c r="T527" s="269"/>
      <c r="U527" s="326" t="s">
        <v>20</v>
      </c>
      <c r="V527" s="200" t="s">
        <v>153</v>
      </c>
      <c r="W527" s="201"/>
      <c r="X527" s="200" t="s">
        <v>154</v>
      </c>
      <c r="Y527" s="201"/>
      <c r="Z527" s="200" t="s">
        <v>155</v>
      </c>
      <c r="AA527" s="201"/>
    </row>
    <row r="528" spans="1:27" ht="25.5" customHeight="1" thickBot="1">
      <c r="A528" s="4"/>
      <c r="B528" s="309"/>
      <c r="C528" s="310"/>
      <c r="D528" s="310"/>
      <c r="E528" s="310"/>
      <c r="F528" s="311"/>
      <c r="G528" s="319"/>
      <c r="H528" s="320"/>
      <c r="I528" s="92" t="s">
        <v>26</v>
      </c>
      <c r="J528" s="94" t="s">
        <v>27</v>
      </c>
      <c r="K528" s="94" t="s">
        <v>28</v>
      </c>
      <c r="L528" s="92" t="s">
        <v>26</v>
      </c>
      <c r="M528" s="94" t="s">
        <v>27</v>
      </c>
      <c r="N528" s="93" t="s">
        <v>28</v>
      </c>
      <c r="O528" s="19" t="s">
        <v>26</v>
      </c>
      <c r="P528" s="92" t="s">
        <v>27</v>
      </c>
      <c r="Q528" s="20" t="s">
        <v>28</v>
      </c>
      <c r="R528" s="21" t="s">
        <v>26</v>
      </c>
      <c r="S528" s="91" t="s">
        <v>27</v>
      </c>
      <c r="T528" s="94" t="s">
        <v>28</v>
      </c>
      <c r="U528" s="327"/>
      <c r="V528" s="202"/>
      <c r="W528" s="203"/>
      <c r="X528" s="202"/>
      <c r="Y528" s="203"/>
      <c r="Z528" s="202"/>
      <c r="AA528" s="203"/>
    </row>
    <row r="529" spans="1:27" ht="15.75" thickBot="1">
      <c r="A529" s="4"/>
      <c r="B529" s="302" t="s">
        <v>29</v>
      </c>
      <c r="C529" s="303"/>
      <c r="D529" s="303"/>
      <c r="E529" s="303"/>
      <c r="F529" s="303"/>
      <c r="G529" s="303"/>
      <c r="H529" s="303"/>
      <c r="I529" s="303"/>
      <c r="J529" s="303"/>
      <c r="K529" s="303"/>
      <c r="L529" s="303"/>
      <c r="M529" s="303"/>
      <c r="N529" s="303"/>
      <c r="O529" s="303"/>
      <c r="P529" s="303"/>
      <c r="Q529" s="303"/>
      <c r="R529" s="303"/>
      <c r="S529" s="303"/>
      <c r="T529" s="303"/>
      <c r="U529" s="304"/>
    </row>
    <row r="530" spans="1:27" s="40" customFormat="1" ht="15.75" customHeight="1">
      <c r="A530" s="152"/>
      <c r="B530" s="287" t="s">
        <v>82</v>
      </c>
      <c r="C530" s="288"/>
      <c r="D530" s="288"/>
      <c r="E530" s="288"/>
      <c r="F530" s="289"/>
      <c r="G530" s="290">
        <v>1908</v>
      </c>
      <c r="H530" s="305"/>
      <c r="I530" s="158">
        <v>1908</v>
      </c>
      <c r="J530" s="141">
        <v>0</v>
      </c>
      <c r="K530" s="141">
        <v>0</v>
      </c>
      <c r="L530" s="141">
        <v>0</v>
      </c>
      <c r="M530" s="141">
        <v>0</v>
      </c>
      <c r="N530" s="141">
        <v>0</v>
      </c>
      <c r="O530" s="141">
        <v>1908</v>
      </c>
      <c r="P530" s="141">
        <v>0</v>
      </c>
      <c r="Q530" s="154">
        <v>0</v>
      </c>
      <c r="R530" s="141">
        <v>0</v>
      </c>
      <c r="S530" s="141">
        <v>0</v>
      </c>
      <c r="T530" s="154">
        <v>0</v>
      </c>
      <c r="U530" s="155">
        <f>R530/G530</f>
        <v>0</v>
      </c>
      <c r="V530" s="128">
        <f>+I530+O410</f>
        <v>1908</v>
      </c>
      <c r="W530" s="128">
        <f>+O530-V530</f>
        <v>0</v>
      </c>
      <c r="X530" s="128">
        <f>+L530+R410</f>
        <v>0</v>
      </c>
      <c r="Y530" s="128">
        <f>+R530-X530</f>
        <v>0</v>
      </c>
      <c r="Z530" s="195">
        <f>+X530/G530</f>
        <v>0</v>
      </c>
      <c r="AA530" s="194">
        <f>+U530-Z530</f>
        <v>0</v>
      </c>
    </row>
    <row r="531" spans="1:27" s="40" customFormat="1">
      <c r="A531" s="152"/>
      <c r="B531" s="274" t="s">
        <v>83</v>
      </c>
      <c r="C531" s="275"/>
      <c r="D531" s="275"/>
      <c r="E531" s="275"/>
      <c r="F531" s="276"/>
      <c r="G531" s="277">
        <v>9000</v>
      </c>
      <c r="H531" s="292"/>
      <c r="I531" s="142">
        <v>3000</v>
      </c>
      <c r="J531" s="117">
        <v>0</v>
      </c>
      <c r="K531" s="117">
        <v>0</v>
      </c>
      <c r="L531" s="117">
        <v>0</v>
      </c>
      <c r="M531" s="117">
        <v>0</v>
      </c>
      <c r="N531" s="117">
        <v>0</v>
      </c>
      <c r="O531" s="117">
        <v>3000</v>
      </c>
      <c r="P531" s="117">
        <v>0</v>
      </c>
      <c r="Q531" s="117">
        <v>0</v>
      </c>
      <c r="R531" s="117">
        <v>0</v>
      </c>
      <c r="S531" s="117">
        <v>0</v>
      </c>
      <c r="T531" s="117">
        <v>0</v>
      </c>
      <c r="U531" s="153">
        <f>R531/G531</f>
        <v>0</v>
      </c>
      <c r="V531" s="128">
        <f t="shared" ref="V531:V550" si="138">+I531+O411</f>
        <v>3000</v>
      </c>
      <c r="W531" s="128">
        <f t="shared" ref="W531:W550" si="139">+O531-V531</f>
        <v>0</v>
      </c>
      <c r="X531" s="128">
        <f t="shared" ref="X531:X550" si="140">+L531+R411</f>
        <v>0</v>
      </c>
      <c r="Y531" s="128">
        <f t="shared" ref="Y531:Y550" si="141">+R531-X531</f>
        <v>0</v>
      </c>
      <c r="Z531" s="195">
        <f t="shared" ref="Z531:Z550" si="142">+X531/G531</f>
        <v>0</v>
      </c>
      <c r="AA531" s="194">
        <f t="shared" ref="AA531:AA550" si="143">+U531-Z531</f>
        <v>0</v>
      </c>
    </row>
    <row r="532" spans="1:27" s="40" customFormat="1">
      <c r="A532" s="152"/>
      <c r="B532" s="274" t="s">
        <v>84</v>
      </c>
      <c r="C532" s="275"/>
      <c r="D532" s="275"/>
      <c r="E532" s="275"/>
      <c r="F532" s="276"/>
      <c r="G532" s="277">
        <v>15000</v>
      </c>
      <c r="H532" s="292"/>
      <c r="I532" s="142">
        <v>0</v>
      </c>
      <c r="J532" s="117">
        <v>0</v>
      </c>
      <c r="K532" s="117">
        <v>0</v>
      </c>
      <c r="L532" s="117">
        <v>0</v>
      </c>
      <c r="M532" s="117">
        <v>0</v>
      </c>
      <c r="N532" s="117">
        <v>0</v>
      </c>
      <c r="O532" s="117">
        <v>15000</v>
      </c>
      <c r="P532" s="117">
        <v>0</v>
      </c>
      <c r="Q532" s="117">
        <v>0</v>
      </c>
      <c r="R532" s="117">
        <v>0</v>
      </c>
      <c r="S532" s="117">
        <v>0</v>
      </c>
      <c r="T532" s="117">
        <v>0</v>
      </c>
      <c r="U532" s="153">
        <f>R532/G532</f>
        <v>0</v>
      </c>
      <c r="V532" s="128">
        <f t="shared" si="138"/>
        <v>15000</v>
      </c>
      <c r="W532" s="128">
        <f t="shared" si="139"/>
        <v>0</v>
      </c>
      <c r="X532" s="128">
        <f t="shared" si="140"/>
        <v>0</v>
      </c>
      <c r="Y532" s="128">
        <f t="shared" si="141"/>
        <v>0</v>
      </c>
      <c r="Z532" s="195">
        <f t="shared" si="142"/>
        <v>0</v>
      </c>
      <c r="AA532" s="194">
        <f t="shared" si="143"/>
        <v>0</v>
      </c>
    </row>
    <row r="533" spans="1:27" s="40" customFormat="1">
      <c r="A533" s="152"/>
      <c r="B533" s="274" t="s">
        <v>85</v>
      </c>
      <c r="C533" s="275"/>
      <c r="D533" s="275"/>
      <c r="E533" s="275"/>
      <c r="F533" s="276"/>
      <c r="G533" s="277">
        <v>2000</v>
      </c>
      <c r="H533" s="292"/>
      <c r="I533" s="142">
        <v>0</v>
      </c>
      <c r="J533" s="117">
        <v>0</v>
      </c>
      <c r="K533" s="117">
        <v>0</v>
      </c>
      <c r="L533" s="117">
        <v>0</v>
      </c>
      <c r="M533" s="117">
        <v>0</v>
      </c>
      <c r="N533" s="117">
        <v>0</v>
      </c>
      <c r="O533" s="117">
        <v>0</v>
      </c>
      <c r="P533" s="117">
        <v>0</v>
      </c>
      <c r="Q533" s="117">
        <v>0</v>
      </c>
      <c r="R533" s="117">
        <v>0</v>
      </c>
      <c r="S533" s="117">
        <v>0</v>
      </c>
      <c r="T533" s="117">
        <v>0</v>
      </c>
      <c r="U533" s="153">
        <f t="shared" ref="U533" si="144">R533/G533</f>
        <v>0</v>
      </c>
      <c r="V533" s="128">
        <f t="shared" si="138"/>
        <v>0</v>
      </c>
      <c r="W533" s="128">
        <f t="shared" si="139"/>
        <v>0</v>
      </c>
      <c r="X533" s="128">
        <f t="shared" si="140"/>
        <v>0</v>
      </c>
      <c r="Y533" s="128">
        <f t="shared" si="141"/>
        <v>0</v>
      </c>
      <c r="Z533" s="195">
        <f t="shared" si="142"/>
        <v>0</v>
      </c>
      <c r="AA533" s="194">
        <f t="shared" si="143"/>
        <v>0</v>
      </c>
    </row>
    <row r="534" spans="1:27" s="40" customFormat="1">
      <c r="A534" s="152"/>
      <c r="B534" s="274" t="s">
        <v>119</v>
      </c>
      <c r="C534" s="275"/>
      <c r="D534" s="275"/>
      <c r="E534" s="275"/>
      <c r="F534" s="276"/>
      <c r="G534" s="277">
        <v>198000</v>
      </c>
      <c r="H534" s="292"/>
      <c r="I534" s="142">
        <v>16500</v>
      </c>
      <c r="J534" s="117">
        <v>0</v>
      </c>
      <c r="K534" s="117">
        <v>0</v>
      </c>
      <c r="L534" s="117">
        <v>2500</v>
      </c>
      <c r="M534" s="117">
        <v>0</v>
      </c>
      <c r="N534" s="117">
        <v>0</v>
      </c>
      <c r="O534" s="117">
        <f>16500+16500+16500+16500+16500</f>
        <v>82500</v>
      </c>
      <c r="P534" s="117">
        <v>0</v>
      </c>
      <c r="Q534" s="117">
        <v>0</v>
      </c>
      <c r="R534" s="117">
        <f>5000+2500</f>
        <v>7500</v>
      </c>
      <c r="S534" s="117">
        <v>0</v>
      </c>
      <c r="T534" s="117">
        <v>0</v>
      </c>
      <c r="U534" s="153">
        <f>R534/G534</f>
        <v>3.787878787878788E-2</v>
      </c>
      <c r="V534" s="128">
        <f t="shared" si="138"/>
        <v>82500</v>
      </c>
      <c r="W534" s="128">
        <f t="shared" si="139"/>
        <v>0</v>
      </c>
      <c r="X534" s="128">
        <f t="shared" si="140"/>
        <v>7500</v>
      </c>
      <c r="Y534" s="128">
        <f t="shared" si="141"/>
        <v>0</v>
      </c>
      <c r="Z534" s="195">
        <f t="shared" si="142"/>
        <v>3.787878787878788E-2</v>
      </c>
      <c r="AA534" s="194">
        <f t="shared" si="143"/>
        <v>0</v>
      </c>
    </row>
    <row r="535" spans="1:27" s="40" customFormat="1" ht="15" customHeight="1">
      <c r="A535" s="152"/>
      <c r="B535" s="274" t="s">
        <v>130</v>
      </c>
      <c r="C535" s="275"/>
      <c r="D535" s="275"/>
      <c r="E535" s="275"/>
      <c r="F535" s="276"/>
      <c r="G535" s="277">
        <v>13000</v>
      </c>
      <c r="H535" s="292"/>
      <c r="I535" s="142">
        <v>0</v>
      </c>
      <c r="J535" s="117">
        <v>0</v>
      </c>
      <c r="K535" s="117">
        <v>0</v>
      </c>
      <c r="L535" s="117">
        <v>0</v>
      </c>
      <c r="M535" s="117">
        <v>0</v>
      </c>
      <c r="N535" s="117">
        <v>0</v>
      </c>
      <c r="O535" s="117">
        <v>0</v>
      </c>
      <c r="P535" s="117">
        <v>0</v>
      </c>
      <c r="Q535" s="117">
        <v>0</v>
      </c>
      <c r="R535" s="117">
        <v>0</v>
      </c>
      <c r="S535" s="117">
        <v>0</v>
      </c>
      <c r="T535" s="117">
        <v>0</v>
      </c>
      <c r="U535" s="153">
        <f>R535/G535</f>
        <v>0</v>
      </c>
      <c r="V535" s="128">
        <f t="shared" si="138"/>
        <v>0</v>
      </c>
      <c r="W535" s="128">
        <f t="shared" si="139"/>
        <v>0</v>
      </c>
      <c r="X535" s="128">
        <f t="shared" si="140"/>
        <v>0</v>
      </c>
      <c r="Y535" s="128">
        <f t="shared" si="141"/>
        <v>0</v>
      </c>
      <c r="Z535" s="195">
        <f t="shared" si="142"/>
        <v>0</v>
      </c>
      <c r="AA535" s="194">
        <f t="shared" si="143"/>
        <v>0</v>
      </c>
    </row>
    <row r="536" spans="1:27" s="40" customFormat="1">
      <c r="A536" s="152"/>
      <c r="B536" s="274" t="s">
        <v>86</v>
      </c>
      <c r="C536" s="275"/>
      <c r="D536" s="275"/>
      <c r="E536" s="275"/>
      <c r="F536" s="276"/>
      <c r="G536" s="277">
        <v>30000</v>
      </c>
      <c r="H536" s="292"/>
      <c r="I536" s="142">
        <v>0</v>
      </c>
      <c r="J536" s="117">
        <v>0</v>
      </c>
      <c r="K536" s="117">
        <v>0</v>
      </c>
      <c r="L536" s="117">
        <v>0</v>
      </c>
      <c r="M536" s="117">
        <v>0</v>
      </c>
      <c r="N536" s="117">
        <v>0</v>
      </c>
      <c r="O536" s="117">
        <f>30000</f>
        <v>30000</v>
      </c>
      <c r="P536" s="117">
        <v>0</v>
      </c>
      <c r="Q536" s="117">
        <v>0</v>
      </c>
      <c r="R536" s="117">
        <f>0+0+0+0</f>
        <v>0</v>
      </c>
      <c r="S536" s="117">
        <v>0</v>
      </c>
      <c r="T536" s="117">
        <v>0</v>
      </c>
      <c r="U536" s="153">
        <f t="shared" ref="U536:U544" si="145">R536/G536</f>
        <v>0</v>
      </c>
      <c r="V536" s="128">
        <f t="shared" si="138"/>
        <v>30000</v>
      </c>
      <c r="W536" s="128">
        <f t="shared" si="139"/>
        <v>0</v>
      </c>
      <c r="X536" s="128">
        <f t="shared" si="140"/>
        <v>0</v>
      </c>
      <c r="Y536" s="128">
        <f t="shared" si="141"/>
        <v>0</v>
      </c>
      <c r="Z536" s="195">
        <f t="shared" si="142"/>
        <v>0</v>
      </c>
      <c r="AA536" s="194">
        <f t="shared" si="143"/>
        <v>0</v>
      </c>
    </row>
    <row r="537" spans="1:27" s="40" customFormat="1">
      <c r="A537" s="152"/>
      <c r="B537" s="274" t="s">
        <v>88</v>
      </c>
      <c r="C537" s="275"/>
      <c r="D537" s="275"/>
      <c r="E537" s="275"/>
      <c r="F537" s="276"/>
      <c r="G537" s="277">
        <v>5800</v>
      </c>
      <c r="H537" s="292"/>
      <c r="I537" s="142">
        <v>0</v>
      </c>
      <c r="J537" s="117">
        <v>0</v>
      </c>
      <c r="K537" s="117">
        <v>0</v>
      </c>
      <c r="L537" s="117">
        <v>0</v>
      </c>
      <c r="M537" s="117">
        <v>0</v>
      </c>
      <c r="N537" s="117">
        <v>0</v>
      </c>
      <c r="O537" s="117">
        <v>0</v>
      </c>
      <c r="P537" s="117">
        <v>0</v>
      </c>
      <c r="Q537" s="117">
        <v>0</v>
      </c>
      <c r="R537" s="117">
        <v>0</v>
      </c>
      <c r="S537" s="117">
        <v>0</v>
      </c>
      <c r="T537" s="117">
        <v>0</v>
      </c>
      <c r="U537" s="153">
        <f t="shared" si="145"/>
        <v>0</v>
      </c>
      <c r="V537" s="128">
        <f t="shared" si="138"/>
        <v>0</v>
      </c>
      <c r="W537" s="128">
        <f t="shared" si="139"/>
        <v>0</v>
      </c>
      <c r="X537" s="128">
        <f t="shared" si="140"/>
        <v>0</v>
      </c>
      <c r="Y537" s="128">
        <f t="shared" si="141"/>
        <v>0</v>
      </c>
      <c r="Z537" s="195">
        <f t="shared" si="142"/>
        <v>0</v>
      </c>
      <c r="AA537" s="194">
        <f t="shared" si="143"/>
        <v>0</v>
      </c>
    </row>
    <row r="538" spans="1:27" s="40" customFormat="1">
      <c r="A538" s="152"/>
      <c r="B538" s="274" t="s">
        <v>131</v>
      </c>
      <c r="C538" s="275"/>
      <c r="D538" s="275"/>
      <c r="E538" s="275"/>
      <c r="F538" s="276"/>
      <c r="G538" s="277">
        <v>40000</v>
      </c>
      <c r="H538" s="292"/>
      <c r="I538" s="142">
        <v>0</v>
      </c>
      <c r="J538" s="117">
        <v>0</v>
      </c>
      <c r="K538" s="117">
        <v>0</v>
      </c>
      <c r="L538" s="117">
        <v>0</v>
      </c>
      <c r="M538" s="117">
        <v>0</v>
      </c>
      <c r="N538" s="117">
        <v>0</v>
      </c>
      <c r="O538" s="117">
        <f>8000</f>
        <v>8000</v>
      </c>
      <c r="P538" s="117">
        <v>0</v>
      </c>
      <c r="Q538" s="117">
        <v>0</v>
      </c>
      <c r="R538" s="117">
        <f>0+0+0+0</f>
        <v>0</v>
      </c>
      <c r="S538" s="117">
        <v>0</v>
      </c>
      <c r="T538" s="117">
        <v>0</v>
      </c>
      <c r="U538" s="153">
        <f t="shared" si="145"/>
        <v>0</v>
      </c>
      <c r="V538" s="128">
        <f t="shared" si="138"/>
        <v>8000</v>
      </c>
      <c r="W538" s="128">
        <f t="shared" si="139"/>
        <v>0</v>
      </c>
      <c r="X538" s="128">
        <f t="shared" si="140"/>
        <v>0</v>
      </c>
      <c r="Y538" s="128">
        <f t="shared" si="141"/>
        <v>0</v>
      </c>
      <c r="Z538" s="195">
        <f t="shared" si="142"/>
        <v>0</v>
      </c>
      <c r="AA538" s="194">
        <f t="shared" si="143"/>
        <v>0</v>
      </c>
    </row>
    <row r="539" spans="1:27" s="40" customFormat="1">
      <c r="A539" s="152"/>
      <c r="B539" s="274" t="s">
        <v>87</v>
      </c>
      <c r="C539" s="275"/>
      <c r="D539" s="275"/>
      <c r="E539" s="275"/>
      <c r="F539" s="276"/>
      <c r="G539" s="277">
        <v>9000</v>
      </c>
      <c r="H539" s="292"/>
      <c r="I539" s="142">
        <v>3000</v>
      </c>
      <c r="J539" s="117">
        <v>0</v>
      </c>
      <c r="K539" s="117">
        <v>0</v>
      </c>
      <c r="L539" s="117">
        <v>0</v>
      </c>
      <c r="M539" s="117">
        <v>0</v>
      </c>
      <c r="N539" s="117">
        <v>0</v>
      </c>
      <c r="O539" s="117">
        <v>3000</v>
      </c>
      <c r="P539" s="117">
        <v>0</v>
      </c>
      <c r="Q539" s="117">
        <v>0</v>
      </c>
      <c r="R539" s="117">
        <v>0</v>
      </c>
      <c r="S539" s="117">
        <v>0</v>
      </c>
      <c r="T539" s="117">
        <v>0</v>
      </c>
      <c r="U539" s="153">
        <f t="shared" si="145"/>
        <v>0</v>
      </c>
      <c r="V539" s="128">
        <f t="shared" si="138"/>
        <v>3000</v>
      </c>
      <c r="W539" s="128">
        <f t="shared" si="139"/>
        <v>0</v>
      </c>
      <c r="X539" s="128">
        <f t="shared" si="140"/>
        <v>0</v>
      </c>
      <c r="Y539" s="128">
        <f t="shared" si="141"/>
        <v>0</v>
      </c>
      <c r="Z539" s="195">
        <f t="shared" si="142"/>
        <v>0</v>
      </c>
      <c r="AA539" s="194">
        <f t="shared" si="143"/>
        <v>0</v>
      </c>
    </row>
    <row r="540" spans="1:27" s="40" customFormat="1">
      <c r="A540" s="152"/>
      <c r="B540" s="274" t="s">
        <v>89</v>
      </c>
      <c r="C540" s="275"/>
      <c r="D540" s="275"/>
      <c r="E540" s="275"/>
      <c r="F540" s="276"/>
      <c r="G540" s="277">
        <v>8000</v>
      </c>
      <c r="H540" s="292"/>
      <c r="I540" s="142">
        <v>0</v>
      </c>
      <c r="J540" s="117">
        <v>0</v>
      </c>
      <c r="K540" s="117">
        <v>0</v>
      </c>
      <c r="L540" s="117">
        <v>0</v>
      </c>
      <c r="M540" s="117">
        <v>0</v>
      </c>
      <c r="N540" s="117">
        <v>0</v>
      </c>
      <c r="O540" s="117">
        <f>8000</f>
        <v>8000</v>
      </c>
      <c r="P540" s="117">
        <v>0</v>
      </c>
      <c r="Q540" s="117">
        <v>0</v>
      </c>
      <c r="R540" s="117">
        <f>0+0+0+0</f>
        <v>0</v>
      </c>
      <c r="S540" s="117">
        <v>0</v>
      </c>
      <c r="T540" s="117">
        <v>0</v>
      </c>
      <c r="U540" s="153">
        <f t="shared" si="145"/>
        <v>0</v>
      </c>
      <c r="V540" s="128">
        <f t="shared" si="138"/>
        <v>8000</v>
      </c>
      <c r="W540" s="128">
        <f t="shared" si="139"/>
        <v>0</v>
      </c>
      <c r="X540" s="128">
        <f t="shared" si="140"/>
        <v>0</v>
      </c>
      <c r="Y540" s="128">
        <f t="shared" si="141"/>
        <v>0</v>
      </c>
      <c r="Z540" s="195">
        <f t="shared" si="142"/>
        <v>0</v>
      </c>
      <c r="AA540" s="194">
        <f t="shared" si="143"/>
        <v>0</v>
      </c>
    </row>
    <row r="541" spans="1:27" s="40" customFormat="1">
      <c r="A541" s="152"/>
      <c r="B541" s="274" t="s">
        <v>90</v>
      </c>
      <c r="C541" s="275"/>
      <c r="D541" s="275"/>
      <c r="E541" s="275"/>
      <c r="F541" s="276"/>
      <c r="G541" s="277">
        <v>9000</v>
      </c>
      <c r="H541" s="292"/>
      <c r="I541" s="142">
        <v>0</v>
      </c>
      <c r="J541" s="117">
        <v>0</v>
      </c>
      <c r="K541" s="117">
        <v>0</v>
      </c>
      <c r="L541" s="117">
        <v>0</v>
      </c>
      <c r="M541" s="117">
        <v>0</v>
      </c>
      <c r="N541" s="117">
        <v>0</v>
      </c>
      <c r="O541" s="117">
        <f>3000</f>
        <v>3000</v>
      </c>
      <c r="P541" s="117">
        <v>0</v>
      </c>
      <c r="Q541" s="117">
        <v>0</v>
      </c>
      <c r="R541" s="117">
        <f>0+0+0+0</f>
        <v>0</v>
      </c>
      <c r="S541" s="117">
        <v>0</v>
      </c>
      <c r="T541" s="117">
        <v>0</v>
      </c>
      <c r="U541" s="153">
        <f t="shared" si="145"/>
        <v>0</v>
      </c>
      <c r="V541" s="128">
        <f t="shared" si="138"/>
        <v>3000</v>
      </c>
      <c r="W541" s="128">
        <f t="shared" si="139"/>
        <v>0</v>
      </c>
      <c r="X541" s="128">
        <f t="shared" si="140"/>
        <v>0</v>
      </c>
      <c r="Y541" s="128">
        <f t="shared" si="141"/>
        <v>0</v>
      </c>
      <c r="Z541" s="195">
        <f t="shared" si="142"/>
        <v>0</v>
      </c>
      <c r="AA541" s="194">
        <f t="shared" si="143"/>
        <v>0</v>
      </c>
    </row>
    <row r="542" spans="1:27" s="40" customFormat="1">
      <c r="A542" s="152"/>
      <c r="B542" s="274" t="s">
        <v>64</v>
      </c>
      <c r="C542" s="275"/>
      <c r="D542" s="275"/>
      <c r="E542" s="275"/>
      <c r="F542" s="276"/>
      <c r="G542" s="277">
        <v>3750</v>
      </c>
      <c r="H542" s="292"/>
      <c r="I542" s="142">
        <v>0</v>
      </c>
      <c r="J542" s="117">
        <v>0</v>
      </c>
      <c r="K542" s="117">
        <v>0</v>
      </c>
      <c r="L542" s="117">
        <v>0</v>
      </c>
      <c r="M542" s="117">
        <v>0</v>
      </c>
      <c r="N542" s="117">
        <v>0</v>
      </c>
      <c r="O542" s="117">
        <v>0</v>
      </c>
      <c r="P542" s="117">
        <v>0</v>
      </c>
      <c r="Q542" s="117">
        <v>0</v>
      </c>
      <c r="R542" s="117">
        <v>0</v>
      </c>
      <c r="S542" s="117">
        <v>0</v>
      </c>
      <c r="T542" s="117">
        <v>0</v>
      </c>
      <c r="U542" s="153">
        <f t="shared" si="145"/>
        <v>0</v>
      </c>
      <c r="V542" s="128">
        <f t="shared" si="138"/>
        <v>0</v>
      </c>
      <c r="W542" s="128">
        <f t="shared" si="139"/>
        <v>0</v>
      </c>
      <c r="X542" s="128">
        <f t="shared" si="140"/>
        <v>0</v>
      </c>
      <c r="Y542" s="128">
        <f t="shared" si="141"/>
        <v>0</v>
      </c>
      <c r="Z542" s="195">
        <f t="shared" si="142"/>
        <v>0</v>
      </c>
      <c r="AA542" s="194">
        <f t="shared" si="143"/>
        <v>0</v>
      </c>
    </row>
    <row r="543" spans="1:27" s="40" customFormat="1">
      <c r="A543" s="152"/>
      <c r="B543" s="274" t="s">
        <v>91</v>
      </c>
      <c r="C543" s="275"/>
      <c r="D543" s="275"/>
      <c r="E543" s="275"/>
      <c r="F543" s="276"/>
      <c r="G543" s="277">
        <v>6000</v>
      </c>
      <c r="H543" s="292"/>
      <c r="I543" s="142">
        <v>0</v>
      </c>
      <c r="J543" s="117">
        <v>0</v>
      </c>
      <c r="K543" s="117">
        <v>0</v>
      </c>
      <c r="L543" s="117">
        <v>0</v>
      </c>
      <c r="M543" s="117">
        <v>0</v>
      </c>
      <c r="N543" s="117">
        <v>0</v>
      </c>
      <c r="O543" s="117">
        <f>6000</f>
        <v>6000</v>
      </c>
      <c r="P543" s="117">
        <v>0</v>
      </c>
      <c r="Q543" s="117">
        <v>0</v>
      </c>
      <c r="R543" s="117">
        <f>0+0+0+0</f>
        <v>0</v>
      </c>
      <c r="S543" s="117">
        <v>0</v>
      </c>
      <c r="T543" s="117">
        <v>0</v>
      </c>
      <c r="U543" s="153">
        <f t="shared" si="145"/>
        <v>0</v>
      </c>
      <c r="V543" s="128">
        <f t="shared" si="138"/>
        <v>6000</v>
      </c>
      <c r="W543" s="128">
        <f t="shared" si="139"/>
        <v>0</v>
      </c>
      <c r="X543" s="128">
        <f t="shared" si="140"/>
        <v>0</v>
      </c>
      <c r="Y543" s="128">
        <f t="shared" si="141"/>
        <v>0</v>
      </c>
      <c r="Z543" s="195">
        <f t="shared" si="142"/>
        <v>0</v>
      </c>
      <c r="AA543" s="194">
        <f t="shared" si="143"/>
        <v>0</v>
      </c>
    </row>
    <row r="544" spans="1:27" s="40" customFormat="1">
      <c r="A544" s="152"/>
      <c r="B544" s="274" t="s">
        <v>81</v>
      </c>
      <c r="C544" s="275"/>
      <c r="D544" s="275"/>
      <c r="E544" s="275"/>
      <c r="F544" s="276"/>
      <c r="G544" s="277">
        <v>195000</v>
      </c>
      <c r="H544" s="292"/>
      <c r="I544" s="142">
        <v>13000</v>
      </c>
      <c r="J544" s="117">
        <v>0</v>
      </c>
      <c r="K544" s="117">
        <v>0</v>
      </c>
      <c r="L544" s="117">
        <v>11463.61</v>
      </c>
      <c r="M544" s="117">
        <v>0</v>
      </c>
      <c r="N544" s="117">
        <v>0</v>
      </c>
      <c r="O544" s="117">
        <f>26000+26000+26000+13000+13000</f>
        <v>104000</v>
      </c>
      <c r="P544" s="117">
        <v>0</v>
      </c>
      <c r="Q544" s="117">
        <v>0</v>
      </c>
      <c r="R544" s="117">
        <f>23416.71+27887.03+23419.61+15279.25+11463.61</f>
        <v>101466.21</v>
      </c>
      <c r="S544" s="117">
        <v>0</v>
      </c>
      <c r="T544" s="117">
        <v>0</v>
      </c>
      <c r="U544" s="153">
        <f t="shared" si="145"/>
        <v>0.52033953846153846</v>
      </c>
      <c r="V544" s="128">
        <f t="shared" si="138"/>
        <v>104000</v>
      </c>
      <c r="W544" s="128">
        <f t="shared" si="139"/>
        <v>0</v>
      </c>
      <c r="X544" s="128">
        <f t="shared" si="140"/>
        <v>101466.21</v>
      </c>
      <c r="Y544" s="128">
        <f t="shared" si="141"/>
        <v>0</v>
      </c>
      <c r="Z544" s="195">
        <f t="shared" si="142"/>
        <v>0.52033953846153846</v>
      </c>
      <c r="AA544" s="194">
        <f t="shared" si="143"/>
        <v>0</v>
      </c>
    </row>
    <row r="545" spans="1:27" s="40" customFormat="1" ht="15" customHeight="1">
      <c r="A545" s="152"/>
      <c r="B545" s="274" t="s">
        <v>132</v>
      </c>
      <c r="C545" s="275"/>
      <c r="D545" s="275"/>
      <c r="E545" s="275"/>
      <c r="F545" s="276"/>
      <c r="G545" s="277">
        <v>1900</v>
      </c>
      <c r="H545" s="292"/>
      <c r="I545" s="142">
        <v>0</v>
      </c>
      <c r="J545" s="117">
        <v>0</v>
      </c>
      <c r="K545" s="117">
        <v>0</v>
      </c>
      <c r="L545" s="117">
        <v>1893.11</v>
      </c>
      <c r="M545" s="117">
        <v>0</v>
      </c>
      <c r="N545" s="117">
        <v>0</v>
      </c>
      <c r="O545" s="117">
        <v>1900</v>
      </c>
      <c r="P545" s="117">
        <v>0</v>
      </c>
      <c r="Q545" s="117">
        <v>0</v>
      </c>
      <c r="R545" s="117">
        <f>0+1893.11</f>
        <v>1893.11</v>
      </c>
      <c r="S545" s="117">
        <v>0</v>
      </c>
      <c r="T545" s="117">
        <v>0</v>
      </c>
      <c r="U545" s="153">
        <f>R545/G545</f>
        <v>0.9963736842105263</v>
      </c>
      <c r="V545" s="128">
        <f t="shared" si="138"/>
        <v>1900</v>
      </c>
      <c r="W545" s="128">
        <f t="shared" si="139"/>
        <v>0</v>
      </c>
      <c r="X545" s="128">
        <f t="shared" si="140"/>
        <v>1893.11</v>
      </c>
      <c r="Y545" s="128">
        <f t="shared" si="141"/>
        <v>0</v>
      </c>
      <c r="Z545" s="195">
        <f t="shared" si="142"/>
        <v>0.9963736842105263</v>
      </c>
      <c r="AA545" s="194">
        <f t="shared" si="143"/>
        <v>0</v>
      </c>
    </row>
    <row r="546" spans="1:27" s="40" customFormat="1" ht="15" customHeight="1">
      <c r="A546" s="152"/>
      <c r="B546" s="274" t="s">
        <v>133</v>
      </c>
      <c r="C546" s="275"/>
      <c r="D546" s="275"/>
      <c r="E546" s="275"/>
      <c r="F546" s="276"/>
      <c r="G546" s="277">
        <v>20000</v>
      </c>
      <c r="H546" s="292"/>
      <c r="I546" s="142">
        <v>0</v>
      </c>
      <c r="J546" s="116">
        <v>0</v>
      </c>
      <c r="K546" s="116">
        <v>0</v>
      </c>
      <c r="L546" s="116">
        <v>0</v>
      </c>
      <c r="M546" s="116">
        <v>0</v>
      </c>
      <c r="N546" s="116">
        <v>0</v>
      </c>
      <c r="O546" s="116">
        <v>0</v>
      </c>
      <c r="P546" s="116">
        <v>0</v>
      </c>
      <c r="Q546" s="116">
        <v>0</v>
      </c>
      <c r="R546" s="116">
        <v>0</v>
      </c>
      <c r="S546" s="116">
        <v>0</v>
      </c>
      <c r="T546" s="116">
        <v>0</v>
      </c>
      <c r="U546" s="156">
        <f>R546/G546</f>
        <v>0</v>
      </c>
      <c r="V546" s="128">
        <f t="shared" si="138"/>
        <v>0</v>
      </c>
      <c r="W546" s="128">
        <f t="shared" si="139"/>
        <v>0</v>
      </c>
      <c r="X546" s="128">
        <f t="shared" si="140"/>
        <v>0</v>
      </c>
      <c r="Y546" s="128">
        <f t="shared" si="141"/>
        <v>0</v>
      </c>
      <c r="Z546" s="195">
        <f t="shared" si="142"/>
        <v>0</v>
      </c>
      <c r="AA546" s="194">
        <f t="shared" si="143"/>
        <v>0</v>
      </c>
    </row>
    <row r="547" spans="1:27" s="40" customFormat="1" ht="15" customHeight="1">
      <c r="A547" s="152"/>
      <c r="B547" s="274" t="s">
        <v>134</v>
      </c>
      <c r="C547" s="275"/>
      <c r="D547" s="275"/>
      <c r="E547" s="275"/>
      <c r="F547" s="276"/>
      <c r="G547" s="277">
        <v>7200</v>
      </c>
      <c r="H547" s="292"/>
      <c r="I547" s="142">
        <v>7200</v>
      </c>
      <c r="J547" s="116">
        <v>0</v>
      </c>
      <c r="K547" s="116">
        <v>0</v>
      </c>
      <c r="L547" s="116">
        <v>0</v>
      </c>
      <c r="M547" s="116">
        <v>0</v>
      </c>
      <c r="N547" s="116">
        <v>0</v>
      </c>
      <c r="O547" s="116">
        <v>7200</v>
      </c>
      <c r="P547" s="116">
        <v>0</v>
      </c>
      <c r="Q547" s="116">
        <v>0</v>
      </c>
      <c r="R547" s="116">
        <v>0</v>
      </c>
      <c r="S547" s="116">
        <v>0</v>
      </c>
      <c r="T547" s="116">
        <v>0</v>
      </c>
      <c r="U547" s="156">
        <f>R547/G547</f>
        <v>0</v>
      </c>
      <c r="V547" s="128">
        <f t="shared" si="138"/>
        <v>7200</v>
      </c>
      <c r="W547" s="128">
        <f t="shared" si="139"/>
        <v>0</v>
      </c>
      <c r="X547" s="128">
        <f t="shared" si="140"/>
        <v>0</v>
      </c>
      <c r="Y547" s="128">
        <f t="shared" si="141"/>
        <v>0</v>
      </c>
      <c r="Z547" s="195">
        <f t="shared" si="142"/>
        <v>0</v>
      </c>
      <c r="AA547" s="194">
        <f t="shared" si="143"/>
        <v>0</v>
      </c>
    </row>
    <row r="548" spans="1:27" s="40" customFormat="1" ht="15" customHeight="1">
      <c r="A548" s="152"/>
      <c r="B548" s="274" t="s">
        <v>79</v>
      </c>
      <c r="C548" s="275"/>
      <c r="D548" s="275"/>
      <c r="E548" s="275"/>
      <c r="F548" s="276"/>
      <c r="G548" s="277">
        <v>37500</v>
      </c>
      <c r="H548" s="292"/>
      <c r="I548" s="142">
        <v>0</v>
      </c>
      <c r="J548" s="116">
        <v>0</v>
      </c>
      <c r="K548" s="116">
        <v>0</v>
      </c>
      <c r="L548" s="116">
        <v>0</v>
      </c>
      <c r="M548" s="116">
        <v>0</v>
      </c>
      <c r="N548" s="116">
        <v>0</v>
      </c>
      <c r="O548" s="116">
        <v>37500</v>
      </c>
      <c r="P548" s="116">
        <v>0</v>
      </c>
      <c r="Q548" s="116">
        <v>0</v>
      </c>
      <c r="R548" s="116">
        <f>0+0+0+0</f>
        <v>0</v>
      </c>
      <c r="S548" s="116">
        <v>0</v>
      </c>
      <c r="T548" s="116">
        <v>0</v>
      </c>
      <c r="U548" s="156">
        <f t="shared" ref="U548:U549" si="146">R548/G548</f>
        <v>0</v>
      </c>
      <c r="V548" s="128">
        <f t="shared" si="138"/>
        <v>37500</v>
      </c>
      <c r="W548" s="128">
        <f t="shared" si="139"/>
        <v>0</v>
      </c>
      <c r="X548" s="128">
        <f t="shared" si="140"/>
        <v>0</v>
      </c>
      <c r="Y548" s="128">
        <f t="shared" si="141"/>
        <v>0</v>
      </c>
      <c r="Z548" s="195">
        <f t="shared" si="142"/>
        <v>0</v>
      </c>
      <c r="AA548" s="194">
        <f t="shared" si="143"/>
        <v>0</v>
      </c>
    </row>
    <row r="549" spans="1:27" s="40" customFormat="1" ht="15" customHeight="1">
      <c r="A549" s="152"/>
      <c r="B549" s="274" t="s">
        <v>92</v>
      </c>
      <c r="C549" s="275"/>
      <c r="D549" s="275"/>
      <c r="E549" s="275"/>
      <c r="F549" s="276"/>
      <c r="G549" s="277">
        <v>39600</v>
      </c>
      <c r="H549" s="292"/>
      <c r="I549" s="142">
        <v>0</v>
      </c>
      <c r="J549" s="116">
        <v>0</v>
      </c>
      <c r="K549" s="116">
        <v>0</v>
      </c>
      <c r="L549" s="116">
        <v>0</v>
      </c>
      <c r="M549" s="116">
        <v>0</v>
      </c>
      <c r="N549" s="116">
        <v>0</v>
      </c>
      <c r="O549" s="116">
        <v>39600</v>
      </c>
      <c r="P549" s="116">
        <v>0</v>
      </c>
      <c r="Q549" s="116">
        <v>0</v>
      </c>
      <c r="R549" s="116">
        <f>0+0+0+0</f>
        <v>0</v>
      </c>
      <c r="S549" s="116">
        <v>0</v>
      </c>
      <c r="T549" s="116">
        <v>0</v>
      </c>
      <c r="U549" s="156">
        <f t="shared" si="146"/>
        <v>0</v>
      </c>
      <c r="V549" s="128">
        <f t="shared" si="138"/>
        <v>39600</v>
      </c>
      <c r="W549" s="128">
        <f t="shared" si="139"/>
        <v>0</v>
      </c>
      <c r="X549" s="128">
        <f t="shared" si="140"/>
        <v>0</v>
      </c>
      <c r="Y549" s="128">
        <f t="shared" si="141"/>
        <v>0</v>
      </c>
      <c r="Z549" s="195">
        <f t="shared" si="142"/>
        <v>0</v>
      </c>
      <c r="AA549" s="194">
        <f t="shared" si="143"/>
        <v>0</v>
      </c>
    </row>
    <row r="550" spans="1:27">
      <c r="A550" s="23"/>
      <c r="B550" s="274" t="s">
        <v>65</v>
      </c>
      <c r="C550" s="275"/>
      <c r="D550" s="275"/>
      <c r="E550" s="275"/>
      <c r="F550" s="276"/>
      <c r="G550" s="463">
        <v>23750</v>
      </c>
      <c r="H550" s="476"/>
      <c r="I550" s="142">
        <v>0</v>
      </c>
      <c r="J550" s="26">
        <v>0</v>
      </c>
      <c r="K550" s="26">
        <v>0</v>
      </c>
      <c r="L550" s="26">
        <v>0</v>
      </c>
      <c r="M550" s="26">
        <v>0</v>
      </c>
      <c r="N550" s="26">
        <v>0</v>
      </c>
      <c r="O550" s="26">
        <v>0</v>
      </c>
      <c r="P550" s="26">
        <v>0</v>
      </c>
      <c r="Q550" s="26">
        <v>0</v>
      </c>
      <c r="R550" s="26">
        <v>0</v>
      </c>
      <c r="S550" s="26">
        <v>0</v>
      </c>
      <c r="T550" s="26">
        <v>0</v>
      </c>
      <c r="U550" s="65">
        <f>R550/G550</f>
        <v>0</v>
      </c>
      <c r="V550" s="128">
        <f t="shared" si="138"/>
        <v>0</v>
      </c>
      <c r="W550" s="128">
        <f t="shared" si="139"/>
        <v>0</v>
      </c>
      <c r="X550" s="128">
        <f t="shared" si="140"/>
        <v>0</v>
      </c>
      <c r="Y550" s="128">
        <f t="shared" si="141"/>
        <v>0</v>
      </c>
      <c r="Z550" s="195">
        <f t="shared" si="142"/>
        <v>0</v>
      </c>
      <c r="AA550" s="194">
        <f t="shared" si="143"/>
        <v>0</v>
      </c>
    </row>
    <row r="551" spans="1:27" ht="15.75" thickBot="1">
      <c r="A551" s="23"/>
      <c r="B551" s="453"/>
      <c r="C551" s="454"/>
      <c r="D551" s="454"/>
      <c r="E551" s="454"/>
      <c r="F551" s="455"/>
      <c r="G551" s="456"/>
      <c r="H551" s="457"/>
      <c r="I551" s="142"/>
      <c r="J551" s="26"/>
      <c r="K551" s="26"/>
      <c r="L551" s="26"/>
      <c r="M551" s="26"/>
      <c r="N551" s="26"/>
      <c r="O551" s="26"/>
      <c r="P551" s="26"/>
      <c r="Q551" s="26"/>
      <c r="R551" s="26"/>
      <c r="S551" s="26"/>
      <c r="T551" s="26"/>
      <c r="U551" s="27"/>
    </row>
    <row r="552" spans="1:27" ht="15.75" thickBot="1">
      <c r="A552" s="23"/>
      <c r="B552" s="257" t="s">
        <v>21</v>
      </c>
      <c r="C552" s="258"/>
      <c r="D552" s="258"/>
      <c r="E552" s="258"/>
      <c r="F552" s="259"/>
      <c r="G552" s="260">
        <f>SUM(G530:H551)</f>
        <v>675408</v>
      </c>
      <c r="H552" s="261"/>
      <c r="I552" s="29">
        <f>SUM(I530:I551)</f>
        <v>44608</v>
      </c>
      <c r="J552" s="29"/>
      <c r="K552" s="29"/>
      <c r="L552" s="29">
        <f>SUM(L530:L551)</f>
        <v>15856.720000000001</v>
      </c>
      <c r="M552" s="29"/>
      <c r="N552" s="29"/>
      <c r="O552" s="29">
        <f>SUM(O530:O551)</f>
        <v>350608</v>
      </c>
      <c r="P552" s="29"/>
      <c r="Q552" s="29"/>
      <c r="R552" s="29">
        <f>SUM(R530:R551)</f>
        <v>110859.32</v>
      </c>
      <c r="S552" s="29"/>
      <c r="T552" s="30"/>
      <c r="U552" s="78">
        <f>R552/G552</f>
        <v>0.16413681804183547</v>
      </c>
      <c r="V552" s="128">
        <f>+I552+O432</f>
        <v>350608</v>
      </c>
      <c r="W552" s="128">
        <f>+O552-V552</f>
        <v>0</v>
      </c>
      <c r="X552" s="128">
        <f>+L552+R432</f>
        <v>110859.32</v>
      </c>
      <c r="Y552" s="128">
        <f>+R552-X552</f>
        <v>0</v>
      </c>
      <c r="Z552" s="195">
        <f>+X552/G552</f>
        <v>0.16413681804183547</v>
      </c>
      <c r="AA552" s="194">
        <f>+U552-Z552</f>
        <v>0</v>
      </c>
    </row>
    <row r="553" spans="1:27" ht="15.75" thickBot="1">
      <c r="A553" s="23"/>
      <c r="B553" s="297"/>
      <c r="C553" s="297"/>
      <c r="D553" s="297"/>
      <c r="E553" s="297"/>
      <c r="F553" s="297"/>
      <c r="G553" s="298"/>
      <c r="H553" s="298"/>
      <c r="I553" s="129"/>
      <c r="J553" s="90"/>
      <c r="K553" s="90"/>
      <c r="L553" s="90"/>
      <c r="M553" s="90"/>
      <c r="N553" s="90"/>
      <c r="O553" s="90"/>
      <c r="P553" s="90"/>
      <c r="Q553" s="90"/>
      <c r="R553" s="90"/>
      <c r="S553" s="90"/>
      <c r="T553" s="90"/>
      <c r="U553" s="72"/>
    </row>
    <row r="554" spans="1:27" ht="15.75" thickBot="1">
      <c r="A554" s="23"/>
      <c r="B554" s="284" t="s">
        <v>30</v>
      </c>
      <c r="C554" s="285"/>
      <c r="D554" s="285"/>
      <c r="E554" s="285"/>
      <c r="F554" s="285"/>
      <c r="G554" s="285"/>
      <c r="H554" s="285"/>
      <c r="I554" s="285"/>
      <c r="J554" s="285"/>
      <c r="K554" s="285"/>
      <c r="L554" s="285"/>
      <c r="M554" s="285"/>
      <c r="N554" s="285"/>
      <c r="O554" s="285"/>
      <c r="P554" s="285"/>
      <c r="Q554" s="285"/>
      <c r="R554" s="285"/>
      <c r="S554" s="285"/>
      <c r="T554" s="285"/>
      <c r="U554" s="286"/>
    </row>
    <row r="555" spans="1:27" s="40" customFormat="1" ht="15" customHeight="1">
      <c r="A555" s="152"/>
      <c r="B555" s="287" t="s">
        <v>80</v>
      </c>
      <c r="C555" s="288"/>
      <c r="D555" s="288"/>
      <c r="E555" s="288"/>
      <c r="F555" s="289"/>
      <c r="G555" s="290">
        <v>11500</v>
      </c>
      <c r="H555" s="291"/>
      <c r="I555" s="161">
        <v>0</v>
      </c>
      <c r="J555" s="161">
        <v>0</v>
      </c>
      <c r="K555" s="161">
        <v>0</v>
      </c>
      <c r="L555" s="161">
        <v>0</v>
      </c>
      <c r="M555" s="161">
        <v>0</v>
      </c>
      <c r="N555" s="161">
        <v>0</v>
      </c>
      <c r="O555" s="161">
        <v>0</v>
      </c>
      <c r="P555" s="161">
        <v>0</v>
      </c>
      <c r="Q555" s="161">
        <v>0</v>
      </c>
      <c r="R555" s="161">
        <v>0</v>
      </c>
      <c r="S555" s="161">
        <v>0</v>
      </c>
      <c r="T555" s="141">
        <v>0</v>
      </c>
      <c r="U555" s="162">
        <f t="shared" ref="U555:U562" si="147">R555/G555</f>
        <v>0</v>
      </c>
      <c r="V555" s="128">
        <f t="shared" ref="V555:V562" si="148">+I555+O435</f>
        <v>0</v>
      </c>
      <c r="W555" s="128">
        <f t="shared" ref="W555:W562" si="149">+O555-V555</f>
        <v>0</v>
      </c>
      <c r="X555" s="128">
        <f t="shared" ref="X555:X562" si="150">+L555+R435</f>
        <v>0</v>
      </c>
      <c r="Y555" s="128">
        <f t="shared" ref="Y555:Y562" si="151">+R555-X555</f>
        <v>0</v>
      </c>
      <c r="Z555" s="195">
        <f t="shared" ref="Z555:Z562" si="152">+X555/G555</f>
        <v>0</v>
      </c>
      <c r="AA555" s="194">
        <f t="shared" ref="AA555:AA562" si="153">+U555-Z555</f>
        <v>0</v>
      </c>
    </row>
    <row r="556" spans="1:27" s="40" customFormat="1">
      <c r="A556" s="152"/>
      <c r="B556" s="274" t="s">
        <v>124</v>
      </c>
      <c r="C556" s="275"/>
      <c r="D556" s="275"/>
      <c r="E556" s="275"/>
      <c r="F556" s="276"/>
      <c r="G556" s="277">
        <v>30000</v>
      </c>
      <c r="H556" s="278"/>
      <c r="I556" s="116">
        <v>0</v>
      </c>
      <c r="J556" s="116">
        <v>0</v>
      </c>
      <c r="K556" s="116">
        <v>0</v>
      </c>
      <c r="L556" s="116">
        <v>0</v>
      </c>
      <c r="M556" s="116">
        <v>0</v>
      </c>
      <c r="N556" s="116">
        <v>0</v>
      </c>
      <c r="O556" s="116">
        <v>0</v>
      </c>
      <c r="P556" s="116">
        <v>0</v>
      </c>
      <c r="Q556" s="116">
        <v>0</v>
      </c>
      <c r="R556" s="116">
        <v>0</v>
      </c>
      <c r="S556" s="116">
        <v>0</v>
      </c>
      <c r="T556" s="117">
        <v>0</v>
      </c>
      <c r="U556" s="153">
        <f t="shared" si="147"/>
        <v>0</v>
      </c>
      <c r="V556" s="128">
        <f t="shared" si="148"/>
        <v>0</v>
      </c>
      <c r="W556" s="128">
        <f t="shared" si="149"/>
        <v>0</v>
      </c>
      <c r="X556" s="128">
        <f t="shared" si="150"/>
        <v>0</v>
      </c>
      <c r="Y556" s="128">
        <f t="shared" si="151"/>
        <v>0</v>
      </c>
      <c r="Z556" s="195">
        <f t="shared" si="152"/>
        <v>0</v>
      </c>
      <c r="AA556" s="194">
        <f t="shared" si="153"/>
        <v>0</v>
      </c>
    </row>
    <row r="557" spans="1:27" s="40" customFormat="1" ht="15" customHeight="1">
      <c r="A557" s="152"/>
      <c r="B557" s="274" t="s">
        <v>123</v>
      </c>
      <c r="C557" s="275"/>
      <c r="D557" s="275"/>
      <c r="E557" s="275"/>
      <c r="F557" s="276"/>
      <c r="G557" s="277">
        <v>12328</v>
      </c>
      <c r="H557" s="278"/>
      <c r="I557" s="116">
        <v>0</v>
      </c>
      <c r="J557" s="116">
        <v>0</v>
      </c>
      <c r="K557" s="116">
        <v>0</v>
      </c>
      <c r="L557" s="116">
        <v>0</v>
      </c>
      <c r="M557" s="116">
        <v>0</v>
      </c>
      <c r="N557" s="116">
        <v>0</v>
      </c>
      <c r="O557" s="116">
        <v>12328</v>
      </c>
      <c r="P557" s="116">
        <v>0</v>
      </c>
      <c r="Q557" s="116">
        <v>0</v>
      </c>
      <c r="R557" s="116">
        <v>12328</v>
      </c>
      <c r="S557" s="116">
        <v>0</v>
      </c>
      <c r="T557" s="117">
        <v>0</v>
      </c>
      <c r="U557" s="153">
        <f t="shared" si="147"/>
        <v>1</v>
      </c>
      <c r="V557" s="128">
        <f t="shared" si="148"/>
        <v>12328</v>
      </c>
      <c r="W557" s="128">
        <f t="shared" si="149"/>
        <v>0</v>
      </c>
      <c r="X557" s="128">
        <f t="shared" si="150"/>
        <v>12328</v>
      </c>
      <c r="Y557" s="128">
        <f t="shared" si="151"/>
        <v>0</v>
      </c>
      <c r="Z557" s="195">
        <f t="shared" si="152"/>
        <v>1</v>
      </c>
      <c r="AA557" s="194">
        <f t="shared" si="153"/>
        <v>0</v>
      </c>
    </row>
    <row r="558" spans="1:27" s="40" customFormat="1" ht="15" customHeight="1">
      <c r="A558" s="152"/>
      <c r="B558" s="274" t="s">
        <v>66</v>
      </c>
      <c r="C558" s="275"/>
      <c r="D558" s="275"/>
      <c r="E558" s="275"/>
      <c r="F558" s="276"/>
      <c r="G558" s="277">
        <v>16000</v>
      </c>
      <c r="H558" s="278"/>
      <c r="I558" s="116">
        <v>0</v>
      </c>
      <c r="J558" s="116">
        <v>0</v>
      </c>
      <c r="K558" s="116">
        <v>0</v>
      </c>
      <c r="L558" s="116">
        <v>6710.67</v>
      </c>
      <c r="M558" s="116">
        <v>0</v>
      </c>
      <c r="N558" s="116">
        <v>0</v>
      </c>
      <c r="O558" s="116">
        <v>0</v>
      </c>
      <c r="P558" s="116">
        <v>0</v>
      </c>
      <c r="Q558" s="116">
        <v>0</v>
      </c>
      <c r="R558" s="116">
        <v>6710.67</v>
      </c>
      <c r="S558" s="116">
        <v>0</v>
      </c>
      <c r="T558" s="117">
        <v>0</v>
      </c>
      <c r="U558" s="153">
        <f t="shared" si="147"/>
        <v>0.41941687500000002</v>
      </c>
      <c r="V558" s="128">
        <f t="shared" si="148"/>
        <v>0</v>
      </c>
      <c r="W558" s="128">
        <f t="shared" si="149"/>
        <v>0</v>
      </c>
      <c r="X558" s="128">
        <f t="shared" si="150"/>
        <v>6710.67</v>
      </c>
      <c r="Y558" s="128">
        <f t="shared" si="151"/>
        <v>0</v>
      </c>
      <c r="Z558" s="195">
        <f t="shared" si="152"/>
        <v>0.41941687500000002</v>
      </c>
      <c r="AA558" s="194">
        <f t="shared" si="153"/>
        <v>0</v>
      </c>
    </row>
    <row r="559" spans="1:27" s="40" customFormat="1" ht="15" customHeight="1">
      <c r="A559" s="152"/>
      <c r="B559" s="274" t="s">
        <v>67</v>
      </c>
      <c r="C559" s="275"/>
      <c r="D559" s="275"/>
      <c r="E559" s="275"/>
      <c r="F559" s="276"/>
      <c r="G559" s="277">
        <v>15000</v>
      </c>
      <c r="H559" s="278"/>
      <c r="I559" s="116">
        <v>0</v>
      </c>
      <c r="J559" s="116">
        <v>0</v>
      </c>
      <c r="K559" s="116">
        <v>0</v>
      </c>
      <c r="L559" s="116">
        <v>0</v>
      </c>
      <c r="M559" s="116">
        <v>0</v>
      </c>
      <c r="N559" s="116">
        <v>0</v>
      </c>
      <c r="O559" s="116">
        <v>0</v>
      </c>
      <c r="P559" s="116">
        <v>0</v>
      </c>
      <c r="Q559" s="116">
        <v>0</v>
      </c>
      <c r="R559" s="116">
        <v>0</v>
      </c>
      <c r="S559" s="116">
        <v>0</v>
      </c>
      <c r="T559" s="117">
        <v>0</v>
      </c>
      <c r="U559" s="153">
        <f t="shared" si="147"/>
        <v>0</v>
      </c>
      <c r="V559" s="128">
        <f t="shared" si="148"/>
        <v>0</v>
      </c>
      <c r="W559" s="128">
        <f t="shared" si="149"/>
        <v>0</v>
      </c>
      <c r="X559" s="128">
        <f t="shared" si="150"/>
        <v>0</v>
      </c>
      <c r="Y559" s="128">
        <f t="shared" si="151"/>
        <v>0</v>
      </c>
      <c r="Z559" s="195">
        <f t="shared" si="152"/>
        <v>0</v>
      </c>
      <c r="AA559" s="194">
        <f t="shared" si="153"/>
        <v>0</v>
      </c>
    </row>
    <row r="560" spans="1:27" s="40" customFormat="1" ht="15" customHeight="1">
      <c r="A560" s="152"/>
      <c r="B560" s="274" t="s">
        <v>93</v>
      </c>
      <c r="C560" s="275"/>
      <c r="D560" s="275"/>
      <c r="E560" s="275"/>
      <c r="F560" s="276"/>
      <c r="G560" s="277">
        <v>12000</v>
      </c>
      <c r="H560" s="278"/>
      <c r="I560" s="116">
        <v>6000</v>
      </c>
      <c r="J560" s="116">
        <v>0</v>
      </c>
      <c r="K560" s="116">
        <v>0</v>
      </c>
      <c r="L560" s="116">
        <v>0</v>
      </c>
      <c r="M560" s="116">
        <v>0</v>
      </c>
      <c r="N560" s="116">
        <v>0</v>
      </c>
      <c r="O560" s="116">
        <v>6000</v>
      </c>
      <c r="P560" s="116">
        <v>0</v>
      </c>
      <c r="Q560" s="116">
        <v>0</v>
      </c>
      <c r="R560" s="116">
        <v>0</v>
      </c>
      <c r="S560" s="116">
        <v>0</v>
      </c>
      <c r="T560" s="117">
        <v>0</v>
      </c>
      <c r="U560" s="153">
        <f t="shared" si="147"/>
        <v>0</v>
      </c>
      <c r="V560" s="128">
        <f t="shared" si="148"/>
        <v>6000</v>
      </c>
      <c r="W560" s="128">
        <f t="shared" si="149"/>
        <v>0</v>
      </c>
      <c r="X560" s="128">
        <f t="shared" si="150"/>
        <v>0</v>
      </c>
      <c r="Y560" s="128">
        <f t="shared" si="151"/>
        <v>0</v>
      </c>
      <c r="Z560" s="195">
        <f t="shared" si="152"/>
        <v>0</v>
      </c>
      <c r="AA560" s="194">
        <f t="shared" si="153"/>
        <v>0</v>
      </c>
    </row>
    <row r="561" spans="1:27" s="40" customFormat="1" ht="15" customHeight="1">
      <c r="A561" s="152"/>
      <c r="B561" s="274" t="s">
        <v>69</v>
      </c>
      <c r="C561" s="275"/>
      <c r="D561" s="275"/>
      <c r="E561" s="275"/>
      <c r="F561" s="276"/>
      <c r="G561" s="277">
        <v>4400</v>
      </c>
      <c r="H561" s="278"/>
      <c r="I561" s="116">
        <v>0</v>
      </c>
      <c r="J561" s="116">
        <v>0</v>
      </c>
      <c r="K561" s="116">
        <v>0</v>
      </c>
      <c r="L561" s="116">
        <v>0</v>
      </c>
      <c r="M561" s="116">
        <v>0</v>
      </c>
      <c r="N561" s="116">
        <v>0</v>
      </c>
      <c r="O561" s="116">
        <v>0</v>
      </c>
      <c r="P561" s="116">
        <v>0</v>
      </c>
      <c r="Q561" s="116">
        <v>0</v>
      </c>
      <c r="R561" s="116">
        <v>0</v>
      </c>
      <c r="S561" s="116">
        <v>0</v>
      </c>
      <c r="T561" s="117">
        <v>0</v>
      </c>
      <c r="U561" s="153">
        <f t="shared" si="147"/>
        <v>0</v>
      </c>
      <c r="V561" s="128">
        <f t="shared" si="148"/>
        <v>0</v>
      </c>
      <c r="W561" s="128">
        <f t="shared" si="149"/>
        <v>0</v>
      </c>
      <c r="X561" s="128">
        <f t="shared" si="150"/>
        <v>0</v>
      </c>
      <c r="Y561" s="128">
        <f t="shared" si="151"/>
        <v>0</v>
      </c>
      <c r="Z561" s="195">
        <f t="shared" si="152"/>
        <v>0</v>
      </c>
      <c r="AA561" s="194">
        <f t="shared" si="153"/>
        <v>0</v>
      </c>
    </row>
    <row r="562" spans="1:27" s="40" customFormat="1" ht="15" customHeight="1">
      <c r="A562" s="152"/>
      <c r="B562" s="274" t="s">
        <v>94</v>
      </c>
      <c r="C562" s="275"/>
      <c r="D562" s="275"/>
      <c r="E562" s="275"/>
      <c r="F562" s="276"/>
      <c r="G562" s="277">
        <v>3200</v>
      </c>
      <c r="H562" s="278"/>
      <c r="I562" s="116">
        <v>800</v>
      </c>
      <c r="J562" s="116">
        <v>0</v>
      </c>
      <c r="K562" s="116">
        <v>0</v>
      </c>
      <c r="L562" s="116">
        <v>0</v>
      </c>
      <c r="M562" s="116">
        <v>0</v>
      </c>
      <c r="N562" s="116">
        <v>0</v>
      </c>
      <c r="O562" s="116">
        <v>800</v>
      </c>
      <c r="P562" s="116">
        <v>0</v>
      </c>
      <c r="Q562" s="116">
        <v>0</v>
      </c>
      <c r="R562" s="116">
        <v>0</v>
      </c>
      <c r="S562" s="116">
        <v>0</v>
      </c>
      <c r="T562" s="117">
        <v>0</v>
      </c>
      <c r="U562" s="153">
        <f t="shared" si="147"/>
        <v>0</v>
      </c>
      <c r="V562" s="128">
        <f t="shared" si="148"/>
        <v>800</v>
      </c>
      <c r="W562" s="128">
        <f t="shared" si="149"/>
        <v>0</v>
      </c>
      <c r="X562" s="128">
        <f t="shared" si="150"/>
        <v>0</v>
      </c>
      <c r="Y562" s="128">
        <f t="shared" si="151"/>
        <v>0</v>
      </c>
      <c r="Z562" s="195">
        <f t="shared" si="152"/>
        <v>0</v>
      </c>
      <c r="AA562" s="194">
        <f t="shared" si="153"/>
        <v>0</v>
      </c>
    </row>
    <row r="563" spans="1:27" ht="15.75" thickBot="1">
      <c r="A563" s="23"/>
      <c r="B563" s="469"/>
      <c r="C563" s="297"/>
      <c r="D563" s="297"/>
      <c r="E563" s="297"/>
      <c r="F563" s="470"/>
      <c r="G563" s="456"/>
      <c r="H563" s="468"/>
      <c r="I563" s="55"/>
      <c r="J563" s="55"/>
      <c r="K563" s="55"/>
      <c r="L563" s="55"/>
      <c r="M563" s="55"/>
      <c r="N563" s="55"/>
      <c r="O563" s="55"/>
      <c r="P563" s="55"/>
      <c r="Q563" s="55"/>
      <c r="R563" s="55"/>
      <c r="S563" s="55"/>
      <c r="T563" s="76"/>
      <c r="U563" s="77"/>
    </row>
    <row r="564" spans="1:27" ht="15.75" thickBot="1">
      <c r="A564" s="23"/>
      <c r="B564" s="257" t="s">
        <v>21</v>
      </c>
      <c r="C564" s="258"/>
      <c r="D564" s="258"/>
      <c r="E564" s="258"/>
      <c r="F564" s="259"/>
      <c r="G564" s="260">
        <f>SUM(G555:H563)</f>
        <v>104428</v>
      </c>
      <c r="H564" s="261"/>
      <c r="I564" s="29">
        <f>SUM(I555:I563)</f>
        <v>6800</v>
      </c>
      <c r="J564" s="29"/>
      <c r="K564" s="29"/>
      <c r="L564" s="29">
        <f>SUM(L555:L563)</f>
        <v>6710.67</v>
      </c>
      <c r="M564" s="29"/>
      <c r="N564" s="29"/>
      <c r="O564" s="29">
        <f>SUM(O555:O563)</f>
        <v>19128</v>
      </c>
      <c r="P564" s="29"/>
      <c r="Q564" s="29"/>
      <c r="R564" s="29">
        <f>SUM(R555:R563)</f>
        <v>19038.669999999998</v>
      </c>
      <c r="S564" s="30"/>
      <c r="T564" s="73"/>
      <c r="U564" s="71">
        <f t="shared" ref="U564" si="154">R564/G564</f>
        <v>0.1823138430306048</v>
      </c>
      <c r="V564" s="128">
        <f>+I564+O444</f>
        <v>19128</v>
      </c>
      <c r="W564" s="128">
        <f>+O564-V564</f>
        <v>0</v>
      </c>
      <c r="X564" s="128">
        <f>+L564+R444</f>
        <v>19038.669999999998</v>
      </c>
      <c r="Y564" s="128">
        <f>+R564-X564</f>
        <v>0</v>
      </c>
      <c r="Z564" s="195">
        <f>+X564/G564</f>
        <v>0.1823138430306048</v>
      </c>
      <c r="AA564" s="194">
        <f>+U564-Z564</f>
        <v>0</v>
      </c>
    </row>
    <row r="565" spans="1:27" ht="15.75" thickBot="1">
      <c r="C565" s="32"/>
      <c r="I565" s="104">
        <f>SUM(I552,I564)</f>
        <v>51408</v>
      </c>
      <c r="L565" s="104">
        <f>SUM(L552,L564)</f>
        <v>22567.39</v>
      </c>
      <c r="N565" s="33"/>
      <c r="O565" s="104">
        <f>SUM(O552,O564)</f>
        <v>369736</v>
      </c>
      <c r="R565" s="105">
        <f>SUM(R552,R564)</f>
        <v>129897.99</v>
      </c>
      <c r="U565" s="33"/>
    </row>
    <row r="566" spans="1:27" ht="15.75" thickBot="1">
      <c r="B566" s="262" t="s">
        <v>31</v>
      </c>
      <c r="C566" s="263"/>
      <c r="D566" s="263"/>
      <c r="E566" s="263"/>
      <c r="F566" s="263"/>
      <c r="G566" s="263"/>
      <c r="H566" s="263"/>
      <c r="I566" s="263"/>
      <c r="J566" s="263"/>
      <c r="K566" s="263"/>
      <c r="L566" s="263"/>
      <c r="M566" s="263"/>
      <c r="N566" s="263"/>
      <c r="O566" s="263"/>
      <c r="P566" s="263"/>
      <c r="Q566" s="263"/>
      <c r="R566" s="263"/>
      <c r="S566" s="263"/>
      <c r="T566" s="263"/>
      <c r="U566" s="263"/>
      <c r="V566" s="34"/>
    </row>
    <row r="567" spans="1:27" ht="15" customHeight="1" thickBot="1">
      <c r="B567" s="264"/>
      <c r="C567" s="265"/>
      <c r="D567" s="267" t="s">
        <v>15</v>
      </c>
      <c r="E567" s="268"/>
      <c r="F567" s="268"/>
      <c r="G567" s="268"/>
      <c r="H567" s="268"/>
      <c r="I567" s="269"/>
      <c r="J567" s="267" t="s">
        <v>32</v>
      </c>
      <c r="K567" s="268"/>
      <c r="L567" s="268"/>
      <c r="M567" s="268"/>
      <c r="N567" s="268"/>
      <c r="O567" s="269"/>
      <c r="P567" s="267" t="s">
        <v>17</v>
      </c>
      <c r="Q567" s="268"/>
      <c r="R567" s="268"/>
      <c r="S567" s="268"/>
      <c r="T567" s="268"/>
      <c r="U567" s="35"/>
    </row>
    <row r="568" spans="1:27" ht="15.75" customHeight="1" thickBot="1">
      <c r="B568" s="219"/>
      <c r="C568" s="266"/>
      <c r="D568" s="270" t="s">
        <v>26</v>
      </c>
      <c r="E568" s="271"/>
      <c r="F568" s="272" t="s">
        <v>27</v>
      </c>
      <c r="G568" s="273"/>
      <c r="H568" s="268" t="s">
        <v>28</v>
      </c>
      <c r="I568" s="269"/>
      <c r="J568" s="272" t="s">
        <v>26</v>
      </c>
      <c r="K568" s="273"/>
      <c r="L568" s="272" t="s">
        <v>27</v>
      </c>
      <c r="M568" s="273"/>
      <c r="N568" s="268" t="s">
        <v>28</v>
      </c>
      <c r="O568" s="269"/>
      <c r="P568" s="272" t="s">
        <v>26</v>
      </c>
      <c r="Q568" s="273"/>
      <c r="R568" s="272" t="s">
        <v>27</v>
      </c>
      <c r="S568" s="273"/>
      <c r="T568" s="268" t="s">
        <v>28</v>
      </c>
      <c r="U568" s="269"/>
    </row>
    <row r="569" spans="1:27" ht="30" customHeight="1">
      <c r="A569" s="23"/>
      <c r="B569" s="250" t="s">
        <v>33</v>
      </c>
      <c r="C569" s="251"/>
      <c r="D569" s="252">
        <v>675408</v>
      </c>
      <c r="E569" s="253"/>
      <c r="F569" s="252">
        <v>0</v>
      </c>
      <c r="G569" s="253"/>
      <c r="H569" s="252">
        <v>0</v>
      </c>
      <c r="I569" s="253"/>
      <c r="J569" s="254">
        <v>15856.72</v>
      </c>
      <c r="K569" s="255"/>
      <c r="L569" s="240">
        <v>0</v>
      </c>
      <c r="M569" s="253"/>
      <c r="N569" s="240">
        <v>0</v>
      </c>
      <c r="O569" s="256"/>
      <c r="P569" s="254">
        <f>23416.71+27887.03+23419.61+20279.25+15856.72</f>
        <v>110859.32</v>
      </c>
      <c r="Q569" s="255"/>
      <c r="R569" s="240">
        <v>0</v>
      </c>
      <c r="S569" s="253"/>
      <c r="T569" s="240">
        <v>0</v>
      </c>
      <c r="U569" s="241"/>
    </row>
    <row r="570" spans="1:27" ht="30" customHeight="1" thickBot="1">
      <c r="A570" s="4"/>
      <c r="B570" s="242" t="s">
        <v>34</v>
      </c>
      <c r="C570" s="243"/>
      <c r="D570" s="244">
        <v>104428</v>
      </c>
      <c r="E570" s="245"/>
      <c r="F570" s="244">
        <v>0</v>
      </c>
      <c r="G570" s="245"/>
      <c r="H570" s="244">
        <v>0</v>
      </c>
      <c r="I570" s="245"/>
      <c r="J570" s="244">
        <v>6710.67</v>
      </c>
      <c r="K570" s="245"/>
      <c r="L570" s="246">
        <v>0</v>
      </c>
      <c r="M570" s="245"/>
      <c r="N570" s="246">
        <v>0</v>
      </c>
      <c r="O570" s="247"/>
      <c r="P570" s="248">
        <f>12328+6710.67</f>
        <v>19038.669999999998</v>
      </c>
      <c r="Q570" s="249"/>
      <c r="R570" s="246">
        <v>0</v>
      </c>
      <c r="S570" s="245"/>
      <c r="T570" s="246">
        <v>0</v>
      </c>
      <c r="U570" s="247"/>
    </row>
    <row r="571" spans="1:27" ht="15.75" thickBot="1">
      <c r="A571" s="23"/>
      <c r="B571" s="233" t="s">
        <v>21</v>
      </c>
      <c r="C571" s="234"/>
      <c r="D571" s="235">
        <f>SUM(D569:E570)</f>
        <v>779836</v>
      </c>
      <c r="E571" s="236"/>
      <c r="F571" s="235">
        <f>SUM(F569:G570)</f>
        <v>0</v>
      </c>
      <c r="G571" s="236"/>
      <c r="H571" s="235">
        <f>SUM(H569:I570)</f>
        <v>0</v>
      </c>
      <c r="I571" s="236"/>
      <c r="J571" s="237">
        <f>SUM(J569:K570)</f>
        <v>22567.39</v>
      </c>
      <c r="K571" s="238"/>
      <c r="L571" s="215">
        <f>SUM(L569:M570)</f>
        <v>0</v>
      </c>
      <c r="M571" s="238"/>
      <c r="N571" s="236">
        <f>SUM(N569:O570)</f>
        <v>0</v>
      </c>
      <c r="O571" s="236"/>
      <c r="P571" s="237">
        <f>SUM(P569:Q570)</f>
        <v>129897.99</v>
      </c>
      <c r="Q571" s="239"/>
      <c r="R571" s="215">
        <f>SUM(R569:S570)</f>
        <v>0</v>
      </c>
      <c r="S571" s="238"/>
      <c r="T571" s="215">
        <f>SUM(T569:U570)</f>
        <v>0</v>
      </c>
      <c r="U571" s="216"/>
    </row>
    <row r="572" spans="1:27">
      <c r="A572" s="23"/>
      <c r="B572" s="92"/>
      <c r="C572" s="92"/>
      <c r="D572" s="92"/>
      <c r="E572" s="92"/>
      <c r="F572" s="88"/>
      <c r="G572" s="88"/>
      <c r="H572" s="89"/>
      <c r="I572" s="89"/>
      <c r="J572" s="88"/>
      <c r="K572" s="88"/>
      <c r="L572" s="88"/>
      <c r="M572" s="89"/>
      <c r="N572" s="88"/>
      <c r="O572" s="89"/>
      <c r="P572" s="89"/>
      <c r="Q572" s="88"/>
      <c r="R572" s="23"/>
      <c r="S572" s="23"/>
      <c r="T572" s="23"/>
      <c r="U572" s="23"/>
    </row>
    <row r="573" spans="1:27" ht="15.75" thickBot="1">
      <c r="A573" s="23"/>
      <c r="B573" s="92"/>
      <c r="C573" s="92"/>
      <c r="D573" s="92"/>
      <c r="E573" s="92"/>
      <c r="F573" s="88"/>
      <c r="G573" s="88"/>
      <c r="H573" s="88"/>
      <c r="I573" s="88"/>
      <c r="J573" s="88"/>
      <c r="K573" s="88"/>
      <c r="L573" s="88"/>
      <c r="M573" s="88"/>
      <c r="N573" s="88"/>
      <c r="O573" s="88"/>
      <c r="P573" s="88"/>
      <c r="Q573" s="88"/>
      <c r="R573" s="23"/>
      <c r="S573" s="23"/>
      <c r="T573" s="23"/>
      <c r="U573" s="23"/>
    </row>
    <row r="574" spans="1:27" ht="15.75" thickBot="1">
      <c r="B574" s="217" t="s">
        <v>35</v>
      </c>
      <c r="C574" s="218"/>
      <c r="D574" s="218"/>
      <c r="E574" s="219"/>
      <c r="F574" s="205"/>
      <c r="G574" s="205"/>
      <c r="H574" s="205"/>
      <c r="I574" s="205"/>
      <c r="J574" s="205"/>
      <c r="K574" s="205"/>
      <c r="L574" s="205"/>
      <c r="M574" s="205"/>
      <c r="N574" s="205"/>
      <c r="O574" s="205"/>
      <c r="P574" s="205"/>
      <c r="Q574" s="205"/>
      <c r="R574" s="205"/>
      <c r="S574" s="205"/>
      <c r="T574" s="205"/>
      <c r="U574" s="205"/>
    </row>
    <row r="575" spans="1:27">
      <c r="B575" s="444"/>
      <c r="C575" s="445"/>
      <c r="D575" s="445"/>
      <c r="E575" s="445"/>
      <c r="F575" s="445"/>
      <c r="G575" s="445"/>
      <c r="H575" s="445"/>
      <c r="I575" s="445"/>
      <c r="J575" s="445"/>
      <c r="K575" s="445"/>
      <c r="L575" s="445"/>
      <c r="M575" s="445"/>
      <c r="N575" s="445"/>
      <c r="O575" s="445"/>
      <c r="P575" s="445"/>
      <c r="Q575" s="445"/>
      <c r="R575" s="445"/>
      <c r="S575" s="445"/>
      <c r="T575" s="445"/>
      <c r="U575" s="446"/>
    </row>
    <row r="576" spans="1:27">
      <c r="B576" s="447"/>
      <c r="C576" s="448"/>
      <c r="D576" s="448"/>
      <c r="E576" s="448"/>
      <c r="F576" s="448"/>
      <c r="G576" s="448"/>
      <c r="H576" s="448"/>
      <c r="I576" s="448"/>
      <c r="J576" s="448"/>
      <c r="K576" s="448"/>
      <c r="L576" s="448"/>
      <c r="M576" s="448"/>
      <c r="N576" s="448"/>
      <c r="O576" s="448"/>
      <c r="P576" s="448"/>
      <c r="Q576" s="448"/>
      <c r="R576" s="448"/>
      <c r="S576" s="448"/>
      <c r="T576" s="448"/>
      <c r="U576" s="449"/>
    </row>
    <row r="577" spans="2:21">
      <c r="B577" s="447"/>
      <c r="C577" s="448"/>
      <c r="D577" s="448"/>
      <c r="E577" s="448"/>
      <c r="F577" s="448"/>
      <c r="G577" s="448"/>
      <c r="H577" s="448"/>
      <c r="I577" s="448"/>
      <c r="J577" s="448"/>
      <c r="K577" s="448"/>
      <c r="L577" s="448"/>
      <c r="M577" s="448"/>
      <c r="N577" s="448"/>
      <c r="O577" s="448"/>
      <c r="P577" s="448"/>
      <c r="Q577" s="448"/>
      <c r="R577" s="448"/>
      <c r="S577" s="448"/>
      <c r="T577" s="448"/>
      <c r="U577" s="449"/>
    </row>
    <row r="578" spans="2:21">
      <c r="B578" s="447"/>
      <c r="C578" s="448"/>
      <c r="D578" s="448"/>
      <c r="E578" s="448"/>
      <c r="F578" s="448"/>
      <c r="G578" s="448"/>
      <c r="H578" s="448"/>
      <c r="I578" s="448"/>
      <c r="J578" s="448"/>
      <c r="K578" s="448"/>
      <c r="L578" s="448"/>
      <c r="M578" s="448"/>
      <c r="N578" s="448"/>
      <c r="O578" s="448"/>
      <c r="P578" s="448"/>
      <c r="Q578" s="448"/>
      <c r="R578" s="448"/>
      <c r="S578" s="448"/>
      <c r="T578" s="448"/>
      <c r="U578" s="449"/>
    </row>
    <row r="579" spans="2:21">
      <c r="B579" s="447"/>
      <c r="C579" s="448"/>
      <c r="D579" s="448"/>
      <c r="E579" s="448"/>
      <c r="F579" s="448"/>
      <c r="G579" s="448"/>
      <c r="H579" s="448"/>
      <c r="I579" s="448"/>
      <c r="J579" s="448"/>
      <c r="K579" s="448"/>
      <c r="L579" s="448"/>
      <c r="M579" s="448"/>
      <c r="N579" s="448"/>
      <c r="O579" s="448"/>
      <c r="P579" s="448"/>
      <c r="Q579" s="448"/>
      <c r="R579" s="448"/>
      <c r="S579" s="448"/>
      <c r="T579" s="448"/>
      <c r="U579" s="449"/>
    </row>
    <row r="580" spans="2:21">
      <c r="B580" s="447"/>
      <c r="C580" s="448"/>
      <c r="D580" s="448"/>
      <c r="E580" s="448"/>
      <c r="F580" s="448"/>
      <c r="G580" s="448"/>
      <c r="H580" s="448"/>
      <c r="I580" s="448"/>
      <c r="J580" s="448"/>
      <c r="K580" s="448"/>
      <c r="L580" s="448"/>
      <c r="M580" s="448"/>
      <c r="N580" s="448"/>
      <c r="O580" s="448"/>
      <c r="P580" s="448"/>
      <c r="Q580" s="448"/>
      <c r="R580" s="448"/>
      <c r="S580" s="448"/>
      <c r="T580" s="448"/>
      <c r="U580" s="449"/>
    </row>
    <row r="581" spans="2:21" ht="15.75" thickBot="1">
      <c r="B581" s="450"/>
      <c r="C581" s="451"/>
      <c r="D581" s="451"/>
      <c r="E581" s="451"/>
      <c r="F581" s="451"/>
      <c r="G581" s="451"/>
      <c r="H581" s="451"/>
      <c r="I581" s="451"/>
      <c r="J581" s="451"/>
      <c r="K581" s="451"/>
      <c r="L581" s="451"/>
      <c r="M581" s="451"/>
      <c r="N581" s="451"/>
      <c r="O581" s="451"/>
      <c r="P581" s="451"/>
      <c r="Q581" s="451"/>
      <c r="R581" s="451"/>
      <c r="S581" s="451"/>
      <c r="T581" s="451"/>
      <c r="U581" s="452"/>
    </row>
    <row r="582" spans="2:21">
      <c r="B582" s="23"/>
    </row>
    <row r="583" spans="2:21">
      <c r="H583" s="40"/>
      <c r="I583" s="40"/>
      <c r="O583" s="40"/>
      <c r="Q583" s="40"/>
    </row>
    <row r="584" spans="2:21">
      <c r="B584" s="220" t="s">
        <v>38</v>
      </c>
      <c r="C584" s="220"/>
      <c r="D584" s="220"/>
      <c r="E584" s="220"/>
      <c r="F584" s="220"/>
      <c r="G584" s="220"/>
      <c r="I584" s="41"/>
      <c r="J584" s="213" t="s">
        <v>36</v>
      </c>
      <c r="K584" s="213"/>
      <c r="L584" s="213"/>
      <c r="M584" s="213"/>
      <c r="N584" s="213"/>
      <c r="O584" s="213"/>
      <c r="R584" s="213" t="s">
        <v>37</v>
      </c>
      <c r="S584" s="213"/>
      <c r="T584" s="213"/>
      <c r="U584" s="213"/>
    </row>
    <row r="585" spans="2:21">
      <c r="B585" s="220"/>
      <c r="C585" s="220"/>
      <c r="D585" s="220"/>
      <c r="E585" s="220"/>
      <c r="F585" s="220"/>
      <c r="G585" s="220"/>
      <c r="H585" s="42"/>
      <c r="I585" s="42"/>
      <c r="J585" s="221"/>
      <c r="K585" s="221"/>
      <c r="L585" s="221"/>
      <c r="M585" s="221"/>
      <c r="N585" s="221"/>
      <c r="O585" s="221"/>
      <c r="P585" s="42"/>
      <c r="Q585" s="42"/>
      <c r="R585" s="210" t="s">
        <v>0</v>
      </c>
      <c r="S585" s="210"/>
      <c r="T585" s="210"/>
      <c r="U585" s="210"/>
    </row>
    <row r="586" spans="2:21">
      <c r="B586" s="220"/>
      <c r="C586" s="220"/>
      <c r="D586" s="220"/>
      <c r="E586" s="220"/>
      <c r="F586" s="220"/>
      <c r="G586" s="220"/>
      <c r="H586" s="167"/>
      <c r="I586" s="167"/>
      <c r="J586" s="221"/>
      <c r="K586" s="221"/>
      <c r="L586" s="221"/>
      <c r="M586" s="221"/>
      <c r="N586" s="221"/>
      <c r="O586" s="221"/>
      <c r="P586" s="167"/>
      <c r="Q586" s="167"/>
      <c r="R586" s="210"/>
      <c r="S586" s="210"/>
      <c r="T586" s="210"/>
      <c r="U586" s="210"/>
    </row>
    <row r="587" spans="2:21">
      <c r="B587" s="220"/>
      <c r="C587" s="220"/>
      <c r="D587" s="220"/>
      <c r="E587" s="220"/>
      <c r="F587" s="220"/>
      <c r="G587" s="220"/>
      <c r="H587" s="167"/>
      <c r="I587" s="167"/>
      <c r="J587" s="221"/>
      <c r="K587" s="221"/>
      <c r="L587" s="221"/>
      <c r="M587" s="221"/>
      <c r="N587" s="221"/>
      <c r="O587" s="221"/>
      <c r="P587" s="167"/>
      <c r="Q587" s="167"/>
      <c r="R587" s="210"/>
      <c r="S587" s="210"/>
      <c r="T587" s="210"/>
      <c r="U587" s="210"/>
    </row>
    <row r="588" spans="2:21">
      <c r="B588" s="220"/>
      <c r="C588" s="220"/>
      <c r="D588" s="220"/>
      <c r="E588" s="220"/>
      <c r="F588" s="220"/>
      <c r="G588" s="220"/>
      <c r="H588" s="167"/>
      <c r="I588" s="167"/>
      <c r="J588" s="221"/>
      <c r="K588" s="221"/>
      <c r="L588" s="221"/>
      <c r="M588" s="221"/>
      <c r="N588" s="221"/>
      <c r="O588" s="221"/>
      <c r="P588" s="167"/>
      <c r="Q588" s="167"/>
      <c r="R588" s="210"/>
      <c r="S588" s="210"/>
      <c r="T588" s="210"/>
      <c r="U588" s="210"/>
    </row>
    <row r="589" spans="2:21" ht="15.75" thickBot="1">
      <c r="B589" s="223"/>
      <c r="C589" s="223"/>
      <c r="D589" s="223"/>
      <c r="E589" s="223"/>
      <c r="F589" s="223"/>
      <c r="G589" s="223"/>
      <c r="J589" s="222"/>
      <c r="K589" s="222"/>
      <c r="L589" s="222"/>
      <c r="M589" s="222"/>
      <c r="N589" s="222"/>
      <c r="O589" s="222"/>
      <c r="R589" s="205"/>
      <c r="S589" s="205"/>
      <c r="T589" s="205"/>
      <c r="U589" s="205"/>
    </row>
    <row r="590" spans="2:21">
      <c r="B590" s="210" t="s">
        <v>101</v>
      </c>
      <c r="C590" s="210"/>
      <c r="D590" s="210"/>
      <c r="E590" s="210"/>
      <c r="F590" s="210"/>
      <c r="G590" s="210"/>
      <c r="J590" s="204" t="s">
        <v>102</v>
      </c>
      <c r="K590" s="204"/>
      <c r="L590" s="204"/>
      <c r="M590" s="204"/>
      <c r="N590" s="204"/>
      <c r="O590" s="204"/>
      <c r="R590" s="211" t="s">
        <v>136</v>
      </c>
      <c r="S590" s="211"/>
      <c r="T590" s="211"/>
      <c r="U590" s="211"/>
    </row>
    <row r="591" spans="2:21">
      <c r="B591" s="204" t="s">
        <v>103</v>
      </c>
      <c r="C591" s="204"/>
      <c r="D591" s="204"/>
      <c r="E591" s="204"/>
      <c r="F591" s="204"/>
      <c r="G591" s="204"/>
      <c r="J591" s="212" t="s">
        <v>104</v>
      </c>
      <c r="K591" s="212"/>
      <c r="L591" s="212"/>
      <c r="M591" s="212"/>
      <c r="N591" s="212"/>
      <c r="O591" s="212"/>
      <c r="P591" s="118"/>
      <c r="Q591" s="118"/>
      <c r="R591" s="212" t="s">
        <v>105</v>
      </c>
      <c r="S591" s="212"/>
      <c r="T591" s="212"/>
      <c r="U591" s="212"/>
    </row>
    <row r="593" spans="2:21">
      <c r="J593" s="213" t="s">
        <v>50</v>
      </c>
      <c r="K593" s="213"/>
      <c r="L593" s="213"/>
      <c r="M593" s="213"/>
      <c r="N593" s="213"/>
      <c r="O593" s="213"/>
    </row>
    <row r="594" spans="2:21">
      <c r="C594" s="214" t="s">
        <v>157</v>
      </c>
      <c r="D594" s="214"/>
      <c r="E594" s="214"/>
      <c r="F594" s="214"/>
      <c r="J594" s="206" t="s">
        <v>48</v>
      </c>
      <c r="K594" s="206"/>
      <c r="L594" s="206"/>
      <c r="M594" s="206"/>
      <c r="N594" s="206"/>
      <c r="O594" s="206"/>
      <c r="R594" s="206" t="s">
        <v>51</v>
      </c>
      <c r="S594" s="206"/>
      <c r="T594" s="206"/>
      <c r="U594" s="206"/>
    </row>
    <row r="595" spans="2:21">
      <c r="B595" s="204"/>
      <c r="C595" s="204"/>
      <c r="D595" s="204"/>
      <c r="E595" s="204"/>
      <c r="F595" s="204"/>
      <c r="G595" s="204"/>
      <c r="J595" s="206"/>
      <c r="K595" s="206"/>
      <c r="L595" s="206"/>
      <c r="M595" s="206"/>
      <c r="N595" s="206"/>
      <c r="O595" s="206"/>
      <c r="R595" s="204"/>
      <c r="S595" s="204"/>
      <c r="T595" s="204"/>
      <c r="U595" s="204"/>
    </row>
    <row r="596" spans="2:21">
      <c r="B596" s="204"/>
      <c r="C596" s="204"/>
      <c r="D596" s="204"/>
      <c r="E596" s="204"/>
      <c r="F596" s="204"/>
      <c r="G596" s="204"/>
      <c r="J596" s="206"/>
      <c r="K596" s="206"/>
      <c r="L596" s="206"/>
      <c r="M596" s="206"/>
      <c r="N596" s="206"/>
      <c r="O596" s="206"/>
      <c r="R596" s="204"/>
      <c r="S596" s="204"/>
      <c r="T596" s="204"/>
      <c r="U596" s="204"/>
    </row>
    <row r="597" spans="2:21">
      <c r="B597" s="204"/>
      <c r="C597" s="204"/>
      <c r="D597" s="204"/>
      <c r="E597" s="204"/>
      <c r="F597" s="204"/>
      <c r="G597" s="204"/>
      <c r="J597" s="206"/>
      <c r="K597" s="206"/>
      <c r="L597" s="206"/>
      <c r="M597" s="206"/>
      <c r="N597" s="206"/>
      <c r="O597" s="206"/>
      <c r="R597" s="204"/>
      <c r="S597" s="204"/>
      <c r="T597" s="204"/>
      <c r="U597" s="204"/>
    </row>
    <row r="598" spans="2:21" ht="15.75" thickBot="1">
      <c r="B598" s="205"/>
      <c r="C598" s="205"/>
      <c r="D598" s="205"/>
      <c r="E598" s="205"/>
      <c r="F598" s="205"/>
      <c r="G598" s="205"/>
      <c r="H598" s="51"/>
      <c r="I598" s="51"/>
      <c r="J598" s="207"/>
      <c r="K598" s="207"/>
      <c r="L598" s="207"/>
      <c r="M598" s="207"/>
      <c r="N598" s="207"/>
      <c r="O598" s="207"/>
      <c r="P598" s="51"/>
      <c r="Q598" s="51"/>
      <c r="R598" s="205"/>
      <c r="S598" s="205"/>
      <c r="T598" s="205"/>
      <c r="U598" s="205"/>
    </row>
    <row r="599" spans="2:21">
      <c r="B599" s="208" t="s">
        <v>106</v>
      </c>
      <c r="C599" s="208"/>
      <c r="D599" s="208"/>
      <c r="E599" s="208"/>
      <c r="F599" s="208"/>
      <c r="G599" s="208"/>
      <c r="H599" s="119"/>
      <c r="I599" s="119"/>
      <c r="J599" s="208" t="s">
        <v>107</v>
      </c>
      <c r="K599" s="208"/>
      <c r="L599" s="208"/>
      <c r="M599" s="208"/>
      <c r="N599" s="208"/>
      <c r="O599" s="208"/>
      <c r="P599" s="51"/>
      <c r="Q599" s="51"/>
      <c r="R599" s="208" t="s">
        <v>108</v>
      </c>
      <c r="S599" s="208"/>
      <c r="T599" s="208"/>
      <c r="U599" s="208"/>
    </row>
    <row r="600" spans="2:21" ht="32.25" customHeight="1">
      <c r="B600" s="209" t="s">
        <v>109</v>
      </c>
      <c r="C600" s="209"/>
      <c r="D600" s="209"/>
      <c r="E600" s="209"/>
      <c r="F600" s="209"/>
      <c r="G600" s="209"/>
      <c r="J600" s="209" t="s">
        <v>110</v>
      </c>
      <c r="K600" s="209"/>
      <c r="L600" s="209"/>
      <c r="M600" s="209"/>
      <c r="N600" s="209"/>
      <c r="O600" s="209"/>
      <c r="R600" s="209" t="s">
        <v>111</v>
      </c>
      <c r="S600" s="209"/>
      <c r="T600" s="209"/>
      <c r="U600" s="209"/>
    </row>
    <row r="603" spans="2:21" ht="23.25">
      <c r="B603" s="443" t="s">
        <v>96</v>
      </c>
      <c r="C603" s="443"/>
      <c r="D603" s="443"/>
      <c r="E603" s="443"/>
      <c r="F603" s="443"/>
      <c r="G603" s="443"/>
      <c r="H603" s="443"/>
      <c r="I603" s="443"/>
      <c r="J603" s="443"/>
      <c r="K603" s="443"/>
      <c r="L603" s="443"/>
      <c r="M603" s="443"/>
      <c r="N603" s="443"/>
      <c r="O603" s="443"/>
      <c r="P603" s="443"/>
      <c r="Q603" s="443"/>
      <c r="R603" s="443"/>
      <c r="S603" s="443"/>
      <c r="T603" s="443"/>
      <c r="U603" s="443"/>
    </row>
    <row r="606" spans="2:21" ht="15" customHeight="1"/>
    <row r="607" spans="2:21" ht="15" customHeight="1">
      <c r="F607" s="1"/>
      <c r="G607" s="1"/>
      <c r="H607" s="1"/>
      <c r="I607" s="1"/>
      <c r="J607" s="1"/>
      <c r="K607" s="1"/>
      <c r="L607" s="1"/>
      <c r="M607" s="1"/>
      <c r="N607" s="1"/>
      <c r="O607" s="1"/>
    </row>
    <row r="608" spans="2:21" ht="15" customHeight="1">
      <c r="B608" s="427" t="s">
        <v>125</v>
      </c>
      <c r="C608" s="427"/>
      <c r="D608" s="427"/>
      <c r="E608" s="427"/>
      <c r="F608" s="427"/>
      <c r="G608" s="427"/>
      <c r="H608" s="427"/>
      <c r="I608" s="427"/>
      <c r="J608" s="427"/>
      <c r="K608" s="427"/>
      <c r="L608" s="427"/>
      <c r="M608" s="427"/>
      <c r="N608" s="427"/>
      <c r="O608" s="427"/>
      <c r="P608" s="427"/>
      <c r="Q608" s="427"/>
      <c r="R608" s="427"/>
      <c r="S608" s="427"/>
      <c r="T608" s="427"/>
      <c r="U608" s="427"/>
    </row>
    <row r="609" spans="1:27" ht="15" customHeight="1">
      <c r="F609" t="s">
        <v>0</v>
      </c>
    </row>
    <row r="610" spans="1:27" ht="15" customHeight="1">
      <c r="B610" s="2"/>
      <c r="C610" s="2"/>
      <c r="D610" s="2"/>
      <c r="E610" s="2"/>
      <c r="F610" s="2"/>
      <c r="G610" s="2"/>
      <c r="H610" s="2"/>
      <c r="I610" s="2"/>
      <c r="J610" s="2"/>
      <c r="K610" s="2"/>
      <c r="L610" s="2"/>
      <c r="M610" s="2"/>
      <c r="N610" s="2"/>
      <c r="O610" s="2"/>
      <c r="P610" s="2"/>
      <c r="Q610" s="2"/>
      <c r="R610" s="2"/>
      <c r="S610" s="2"/>
      <c r="T610" s="2"/>
      <c r="U610" s="2"/>
    </row>
    <row r="611" spans="1:27" ht="15" customHeight="1" thickBot="1">
      <c r="B611" s="3"/>
      <c r="C611" s="3"/>
      <c r="D611" s="3"/>
      <c r="E611" s="3"/>
      <c r="F611" s="3"/>
      <c r="G611" s="3"/>
      <c r="H611" s="3"/>
      <c r="I611" s="3"/>
      <c r="J611" s="3"/>
      <c r="K611" s="3"/>
      <c r="L611" s="3"/>
      <c r="M611" s="3"/>
      <c r="N611" s="3"/>
      <c r="O611" s="3"/>
      <c r="P611" s="3"/>
      <c r="Q611" s="3"/>
      <c r="R611" s="3"/>
      <c r="S611" s="3"/>
      <c r="T611" s="3"/>
      <c r="U611" s="3"/>
    </row>
    <row r="612" spans="1:27" ht="15" customHeight="1">
      <c r="B612" s="385" t="s">
        <v>1</v>
      </c>
      <c r="C612" s="386"/>
      <c r="D612" s="386"/>
      <c r="E612" s="386"/>
      <c r="F612" s="387"/>
      <c r="G612" s="428" t="s">
        <v>164</v>
      </c>
      <c r="H612" s="429"/>
      <c r="I612" s="429"/>
      <c r="J612" s="429"/>
      <c r="K612" s="429"/>
      <c r="L612" s="429"/>
      <c r="M612" s="429"/>
      <c r="N612" s="429"/>
      <c r="O612" s="429"/>
      <c r="P612" s="429"/>
      <c r="Q612" s="429"/>
      <c r="R612" s="429"/>
      <c r="S612" s="429"/>
      <c r="T612" s="429"/>
      <c r="U612" s="430"/>
    </row>
    <row r="613" spans="1:27" ht="15" customHeight="1">
      <c r="A613" s="4"/>
      <c r="B613" s="431" t="s">
        <v>2</v>
      </c>
      <c r="C613" s="432"/>
      <c r="D613" s="432"/>
      <c r="E613" s="432"/>
      <c r="F613" s="433"/>
      <c r="G613" s="434" t="s">
        <v>163</v>
      </c>
      <c r="H613" s="435"/>
      <c r="I613" s="435"/>
      <c r="J613" s="435"/>
      <c r="K613" s="435"/>
      <c r="L613" s="435"/>
      <c r="M613" s="435"/>
      <c r="N613" s="435"/>
      <c r="O613" s="435"/>
      <c r="P613" s="435"/>
      <c r="Q613" s="435"/>
      <c r="R613" s="435"/>
      <c r="S613" s="435"/>
      <c r="T613" s="435"/>
      <c r="U613" s="436"/>
    </row>
    <row r="614" spans="1:27" ht="15" customHeight="1">
      <c r="A614" s="4"/>
      <c r="B614" s="385" t="s">
        <v>3</v>
      </c>
      <c r="C614" s="386"/>
      <c r="D614" s="386"/>
      <c r="E614" s="386"/>
      <c r="F614" s="387"/>
      <c r="G614" s="437" t="s">
        <v>156</v>
      </c>
      <c r="H614" s="438"/>
      <c r="I614" s="438"/>
      <c r="J614" s="438"/>
      <c r="K614" s="438"/>
      <c r="L614" s="438"/>
      <c r="M614" s="438"/>
      <c r="N614" s="438"/>
      <c r="O614" s="438"/>
      <c r="P614" s="438"/>
      <c r="Q614" s="438"/>
      <c r="R614" s="438"/>
      <c r="S614" s="438"/>
      <c r="T614" s="438"/>
      <c r="U614" s="439"/>
    </row>
    <row r="615" spans="1:27" ht="15" customHeight="1">
      <c r="A615" s="4"/>
      <c r="B615" s="385" t="s">
        <v>4</v>
      </c>
      <c r="C615" s="386"/>
      <c r="D615" s="386"/>
      <c r="E615" s="386"/>
      <c r="F615" s="387"/>
      <c r="G615" s="440" t="s">
        <v>165</v>
      </c>
      <c r="H615" s="441"/>
      <c r="I615" s="441"/>
      <c r="J615" s="441"/>
      <c r="K615" s="441"/>
      <c r="L615" s="441"/>
      <c r="M615" s="441"/>
      <c r="N615" s="441"/>
      <c r="O615" s="441"/>
      <c r="P615" s="441"/>
      <c r="Q615" s="441"/>
      <c r="R615" s="441"/>
      <c r="S615" s="441"/>
      <c r="T615" s="441"/>
      <c r="U615" s="442"/>
    </row>
    <row r="616" spans="1:27" ht="15" customHeight="1">
      <c r="A616" s="4"/>
      <c r="B616" s="385" t="s">
        <v>5</v>
      </c>
      <c r="C616" s="386"/>
      <c r="D616" s="386"/>
      <c r="E616" s="386"/>
      <c r="F616" s="387"/>
      <c r="G616" s="410" t="s">
        <v>6</v>
      </c>
      <c r="H616" s="411"/>
      <c r="I616" s="412">
        <v>779836</v>
      </c>
      <c r="J616" s="413"/>
      <c r="K616" s="413"/>
      <c r="L616" s="414"/>
      <c r="M616" s="5" t="s">
        <v>7</v>
      </c>
      <c r="N616" s="412">
        <v>0</v>
      </c>
      <c r="O616" s="413"/>
      <c r="P616" s="413"/>
      <c r="Q616" s="414"/>
      <c r="R616" s="415" t="s">
        <v>8</v>
      </c>
      <c r="S616" s="416"/>
      <c r="T616" s="412">
        <v>0</v>
      </c>
      <c r="U616" s="417"/>
    </row>
    <row r="617" spans="1:27">
      <c r="A617" s="4"/>
      <c r="B617" s="385" t="s">
        <v>9</v>
      </c>
      <c r="C617" s="386"/>
      <c r="D617" s="386"/>
      <c r="E617" s="386"/>
      <c r="F617" s="387"/>
      <c r="G617" s="418" t="s">
        <v>6</v>
      </c>
      <c r="H617" s="419"/>
      <c r="I617" s="412">
        <v>389918</v>
      </c>
      <c r="J617" s="413"/>
      <c r="K617" s="413"/>
      <c r="L617" s="414"/>
      <c r="M617" s="5" t="s">
        <v>7</v>
      </c>
      <c r="N617" s="420">
        <v>0</v>
      </c>
      <c r="O617" s="421"/>
      <c r="P617" s="421"/>
      <c r="Q617" s="422"/>
      <c r="R617" s="423"/>
      <c r="S617" s="424"/>
      <c r="T617" s="424"/>
      <c r="U617" s="425"/>
    </row>
    <row r="618" spans="1:27" ht="15.75" thickBot="1">
      <c r="A618" s="4"/>
      <c r="B618" s="385" t="s">
        <v>10</v>
      </c>
      <c r="C618" s="386"/>
      <c r="D618" s="386"/>
      <c r="E618" s="386"/>
      <c r="F618" s="387"/>
      <c r="G618" s="460" t="s">
        <v>97</v>
      </c>
      <c r="H618" s="461"/>
      <c r="I618" s="461"/>
      <c r="J618" s="461"/>
      <c r="K618" s="461"/>
      <c r="L618" s="461"/>
      <c r="M618" s="461"/>
      <c r="N618" s="461"/>
      <c r="O618" s="461"/>
      <c r="P618" s="461"/>
      <c r="Q618" s="461"/>
      <c r="R618" s="461"/>
      <c r="S618" s="461"/>
      <c r="T618" s="461"/>
      <c r="U618" s="462"/>
    </row>
    <row r="619" spans="1:27" ht="15.75" customHeight="1" thickBot="1">
      <c r="A619" s="4"/>
      <c r="B619" s="391" t="s">
        <v>11</v>
      </c>
      <c r="C619" s="392"/>
      <c r="D619" s="392"/>
      <c r="E619" s="392"/>
      <c r="F619" s="393"/>
      <c r="G619" s="394" t="s">
        <v>118</v>
      </c>
      <c r="H619" s="395"/>
      <c r="I619" s="395"/>
      <c r="J619" s="395"/>
      <c r="K619" s="395"/>
      <c r="L619" s="395"/>
      <c r="M619" s="395"/>
      <c r="N619" s="395"/>
      <c r="O619" s="395"/>
      <c r="P619" s="395"/>
      <c r="Q619" s="395"/>
      <c r="R619" s="395"/>
      <c r="S619" s="395"/>
      <c r="T619" s="395"/>
      <c r="U619" s="396"/>
    </row>
    <row r="620" spans="1:27" ht="15.75" thickBot="1">
      <c r="B620" s="397"/>
      <c r="C620" s="397"/>
      <c r="D620" s="397"/>
      <c r="E620" s="397"/>
      <c r="F620" s="397"/>
      <c r="G620" s="397"/>
      <c r="H620" s="397"/>
      <c r="I620" s="397"/>
      <c r="J620" s="397"/>
      <c r="K620" s="397"/>
      <c r="L620" s="397"/>
      <c r="M620" s="397"/>
      <c r="N620" s="397"/>
      <c r="O620" s="397"/>
      <c r="P620" s="397"/>
      <c r="Q620" s="397"/>
      <c r="R620" s="397"/>
      <c r="S620" s="397"/>
      <c r="T620" s="397"/>
      <c r="U620" s="397"/>
    </row>
    <row r="621" spans="1:27" ht="16.5" thickBot="1">
      <c r="A621" s="4"/>
      <c r="B621" s="306" t="s">
        <v>12</v>
      </c>
      <c r="C621" s="307"/>
      <c r="D621" s="308"/>
      <c r="E621" s="307" t="s">
        <v>13</v>
      </c>
      <c r="F621" s="308"/>
      <c r="G621" s="312" t="s">
        <v>14</v>
      </c>
      <c r="H621" s="313"/>
      <c r="I621" s="313"/>
      <c r="J621" s="313"/>
      <c r="K621" s="313"/>
      <c r="L621" s="313"/>
      <c r="M621" s="313"/>
      <c r="N621" s="313"/>
      <c r="O621" s="313"/>
      <c r="P621" s="313"/>
      <c r="Q621" s="313"/>
      <c r="R621" s="313"/>
      <c r="S621" s="313"/>
      <c r="T621" s="313"/>
      <c r="U621" s="314"/>
    </row>
    <row r="622" spans="1:27" ht="15.75" thickBot="1">
      <c r="A622" s="4"/>
      <c r="B622" s="309"/>
      <c r="C622" s="310"/>
      <c r="D622" s="311"/>
      <c r="E622" s="310"/>
      <c r="F622" s="311"/>
      <c r="G622" s="315" t="s">
        <v>15</v>
      </c>
      <c r="H622" s="316"/>
      <c r="I622" s="267" t="s">
        <v>16</v>
      </c>
      <c r="J622" s="268"/>
      <c r="K622" s="268"/>
      <c r="L622" s="268"/>
      <c r="M622" s="268"/>
      <c r="N622" s="269"/>
      <c r="O622" s="403" t="s">
        <v>17</v>
      </c>
      <c r="P622" s="404"/>
      <c r="Q622" s="404"/>
      <c r="R622" s="404"/>
      <c r="S622" s="404"/>
      <c r="T622" s="404"/>
      <c r="U622" s="405"/>
    </row>
    <row r="623" spans="1:27">
      <c r="A623" s="4"/>
      <c r="B623" s="309"/>
      <c r="C623" s="310"/>
      <c r="D623" s="311"/>
      <c r="E623" s="310"/>
      <c r="F623" s="311"/>
      <c r="G623" s="317"/>
      <c r="H623" s="318"/>
      <c r="I623" s="315" t="s">
        <v>18</v>
      </c>
      <c r="J623" s="406"/>
      <c r="K623" s="406"/>
      <c r="L623" s="315" t="s">
        <v>19</v>
      </c>
      <c r="M623" s="406"/>
      <c r="N623" s="316"/>
      <c r="O623" s="408" t="s">
        <v>18</v>
      </c>
      <c r="P623" s="409"/>
      <c r="Q623" s="409"/>
      <c r="R623" s="315" t="s">
        <v>19</v>
      </c>
      <c r="S623" s="406"/>
      <c r="T623" s="406"/>
      <c r="U623" s="326" t="s">
        <v>20</v>
      </c>
      <c r="V623" s="200" t="s">
        <v>153</v>
      </c>
      <c r="W623" s="201"/>
      <c r="X623" s="200" t="s">
        <v>154</v>
      </c>
      <c r="Y623" s="201"/>
      <c r="Z623" s="200" t="s">
        <v>155</v>
      </c>
      <c r="AA623" s="201"/>
    </row>
    <row r="624" spans="1:27" ht="15.75" thickBot="1">
      <c r="A624" s="4"/>
      <c r="B624" s="398"/>
      <c r="C624" s="399"/>
      <c r="D624" s="400"/>
      <c r="E624" s="399"/>
      <c r="F624" s="400"/>
      <c r="G624" s="401"/>
      <c r="H624" s="402"/>
      <c r="I624" s="401"/>
      <c r="J624" s="407"/>
      <c r="K624" s="407"/>
      <c r="L624" s="401"/>
      <c r="M624" s="407"/>
      <c r="N624" s="402"/>
      <c r="O624" s="401"/>
      <c r="P624" s="407"/>
      <c r="Q624" s="407"/>
      <c r="R624" s="401"/>
      <c r="S624" s="407"/>
      <c r="T624" s="407"/>
      <c r="U624" s="327"/>
      <c r="V624" s="202"/>
      <c r="W624" s="203"/>
      <c r="X624" s="202"/>
      <c r="Y624" s="203"/>
      <c r="Z624" s="202"/>
      <c r="AA624" s="203"/>
    </row>
    <row r="625" spans="1:27">
      <c r="A625" s="4"/>
      <c r="B625" s="372" t="s">
        <v>59</v>
      </c>
      <c r="C625" s="373"/>
      <c r="D625" s="374"/>
      <c r="E625" s="375"/>
      <c r="F625" s="376"/>
      <c r="G625" s="377"/>
      <c r="H625" s="378"/>
      <c r="I625" s="379"/>
      <c r="J625" s="380"/>
      <c r="K625" s="378"/>
      <c r="L625" s="381"/>
      <c r="M625" s="380"/>
      <c r="N625" s="382"/>
      <c r="O625" s="383"/>
      <c r="P625" s="384"/>
      <c r="Q625" s="384"/>
      <c r="R625" s="384"/>
      <c r="S625" s="384"/>
      <c r="T625" s="384"/>
      <c r="U625" s="53"/>
    </row>
    <row r="626" spans="1:27">
      <c r="A626" s="4"/>
      <c r="B626" s="354" t="s">
        <v>76</v>
      </c>
      <c r="C626" s="362"/>
      <c r="D626" s="363"/>
      <c r="E626" s="364"/>
      <c r="F626" s="365"/>
      <c r="G626" s="366"/>
      <c r="H626" s="367"/>
      <c r="I626" s="371"/>
      <c r="J626" s="370"/>
      <c r="K626" s="370"/>
      <c r="L626" s="370"/>
      <c r="M626" s="370"/>
      <c r="N626" s="365"/>
      <c r="O626" s="371"/>
      <c r="P626" s="370"/>
      <c r="Q626" s="370"/>
      <c r="R626" s="370"/>
      <c r="S626" s="370"/>
      <c r="T626" s="370"/>
      <c r="U626" s="102"/>
    </row>
    <row r="627" spans="1:27">
      <c r="A627" s="4"/>
      <c r="B627" s="328" t="s">
        <v>56</v>
      </c>
      <c r="C627" s="329"/>
      <c r="D627" s="330"/>
      <c r="E627" s="331" t="s">
        <v>58</v>
      </c>
      <c r="F627" s="332"/>
      <c r="G627" s="348">
        <v>170</v>
      </c>
      <c r="H627" s="359"/>
      <c r="I627" s="350">
        <v>0</v>
      </c>
      <c r="J627" s="351"/>
      <c r="K627" s="349"/>
      <c r="L627" s="350">
        <v>0</v>
      </c>
      <c r="M627" s="351"/>
      <c r="N627" s="352"/>
      <c r="O627" s="353">
        <v>170</v>
      </c>
      <c r="P627" s="351"/>
      <c r="Q627" s="349"/>
      <c r="R627" s="350">
        <v>170</v>
      </c>
      <c r="S627" s="351"/>
      <c r="T627" s="349"/>
      <c r="U627" s="6">
        <f t="shared" ref="U627" si="155">R627/G627</f>
        <v>1</v>
      </c>
      <c r="V627" s="193">
        <f>+I627+O506</f>
        <v>170</v>
      </c>
      <c r="W627" s="193">
        <f>+O627-V627</f>
        <v>0</v>
      </c>
      <c r="X627" s="193">
        <f>+L627+R506</f>
        <v>170</v>
      </c>
      <c r="Y627" s="193">
        <f>+R627-X627</f>
        <v>0</v>
      </c>
      <c r="Z627" s="195">
        <f>+X627/G627</f>
        <v>1</v>
      </c>
      <c r="AA627" s="194">
        <f>+U627-Z627</f>
        <v>0</v>
      </c>
    </row>
    <row r="628" spans="1:27">
      <c r="A628" s="159"/>
      <c r="B628" s="328" t="s">
        <v>57</v>
      </c>
      <c r="C628" s="329"/>
      <c r="D628" s="330"/>
      <c r="E628" s="331" t="s">
        <v>58</v>
      </c>
      <c r="F628" s="332"/>
      <c r="G628" s="348">
        <v>4405</v>
      </c>
      <c r="H628" s="349"/>
      <c r="I628" s="350">
        <v>340</v>
      </c>
      <c r="J628" s="351"/>
      <c r="K628" s="349"/>
      <c r="L628" s="350">
        <v>268</v>
      </c>
      <c r="M628" s="351"/>
      <c r="N628" s="352"/>
      <c r="O628" s="353">
        <f>340+340+340+417+418+340</f>
        <v>2195</v>
      </c>
      <c r="P628" s="351"/>
      <c r="Q628" s="349"/>
      <c r="R628" s="350">
        <f>339+339+338+420+340+268</f>
        <v>2044</v>
      </c>
      <c r="S628" s="351"/>
      <c r="T628" s="349"/>
      <c r="U628" s="54">
        <f>R628/G628</f>
        <v>0.46401816118047673</v>
      </c>
      <c r="V628" s="193">
        <f>+I628+O507</f>
        <v>2195</v>
      </c>
      <c r="W628" s="193">
        <f>+O628-V628</f>
        <v>0</v>
      </c>
      <c r="X628" s="193">
        <f>+L628+R507</f>
        <v>2044</v>
      </c>
      <c r="Y628" s="193">
        <f>+R628-X628</f>
        <v>0</v>
      </c>
      <c r="Z628" s="195">
        <f>+X628/G628</f>
        <v>0.46401816118047673</v>
      </c>
      <c r="AA628" s="194">
        <f>+U628-Z628</f>
        <v>0</v>
      </c>
    </row>
    <row r="629" spans="1:27" ht="15" customHeight="1">
      <c r="A629" s="4"/>
      <c r="B629" s="354" t="s">
        <v>77</v>
      </c>
      <c r="C629" s="362"/>
      <c r="D629" s="363"/>
      <c r="E629" s="364"/>
      <c r="F629" s="365"/>
      <c r="G629" s="366"/>
      <c r="H629" s="367"/>
      <c r="I629" s="371"/>
      <c r="J629" s="370"/>
      <c r="K629" s="370"/>
      <c r="L629" s="370"/>
      <c r="M629" s="370"/>
      <c r="N629" s="365"/>
      <c r="O629" s="371"/>
      <c r="P629" s="370"/>
      <c r="Q629" s="370"/>
      <c r="R629" s="370"/>
      <c r="S629" s="370"/>
      <c r="T629" s="370"/>
      <c r="U629" s="102"/>
    </row>
    <row r="630" spans="1:27">
      <c r="A630" s="4"/>
      <c r="B630" s="328" t="s">
        <v>56</v>
      </c>
      <c r="C630" s="329"/>
      <c r="D630" s="330"/>
      <c r="E630" s="331" t="s">
        <v>58</v>
      </c>
      <c r="F630" s="332"/>
      <c r="G630" s="348">
        <v>35</v>
      </c>
      <c r="H630" s="359"/>
      <c r="I630" s="350">
        <v>0</v>
      </c>
      <c r="J630" s="351"/>
      <c r="K630" s="349"/>
      <c r="L630" s="350">
        <v>0</v>
      </c>
      <c r="M630" s="351"/>
      <c r="N630" s="352"/>
      <c r="O630" s="353">
        <v>35</v>
      </c>
      <c r="P630" s="351"/>
      <c r="Q630" s="349"/>
      <c r="R630" s="350">
        <v>35</v>
      </c>
      <c r="S630" s="351"/>
      <c r="T630" s="349"/>
      <c r="U630" s="6">
        <f t="shared" ref="U630" si="156">R630/G630</f>
        <v>1</v>
      </c>
      <c r="V630" s="193">
        <f t="shared" ref="V630:V631" si="157">+I630+O509</f>
        <v>35</v>
      </c>
      <c r="W630" s="193">
        <f t="shared" ref="W630:W631" si="158">+O630-V630</f>
        <v>0</v>
      </c>
      <c r="X630" s="193">
        <f t="shared" ref="X630:X631" si="159">+L630+R509</f>
        <v>35</v>
      </c>
      <c r="Y630" s="193">
        <f t="shared" ref="Y630:Y631" si="160">+R630-X630</f>
        <v>0</v>
      </c>
      <c r="Z630" s="195">
        <f t="shared" ref="Z630:Z631" si="161">+X630/G630</f>
        <v>1</v>
      </c>
      <c r="AA630" s="194">
        <f t="shared" ref="AA630:AA631" si="162">+U630-Z630</f>
        <v>0</v>
      </c>
    </row>
    <row r="631" spans="1:27">
      <c r="A631" s="159"/>
      <c r="B631" s="328" t="s">
        <v>57</v>
      </c>
      <c r="C631" s="329"/>
      <c r="D631" s="330"/>
      <c r="E631" s="331" t="s">
        <v>58</v>
      </c>
      <c r="F631" s="332"/>
      <c r="G631" s="348">
        <v>907</v>
      </c>
      <c r="H631" s="349"/>
      <c r="I631" s="360">
        <v>70</v>
      </c>
      <c r="J631" s="341"/>
      <c r="K631" s="361"/>
      <c r="L631" s="350">
        <v>55</v>
      </c>
      <c r="M631" s="351"/>
      <c r="N631" s="352"/>
      <c r="O631" s="353">
        <f>70+70+70+88+84+70</f>
        <v>452</v>
      </c>
      <c r="P631" s="351"/>
      <c r="Q631" s="349"/>
      <c r="R631" s="350">
        <f>70+70+70+88+69+55</f>
        <v>422</v>
      </c>
      <c r="S631" s="351"/>
      <c r="T631" s="349"/>
      <c r="U631" s="54">
        <f>R631/G631</f>
        <v>0.46527012127894157</v>
      </c>
      <c r="V631" s="193">
        <f t="shared" si="157"/>
        <v>452</v>
      </c>
      <c r="W631" s="193">
        <f t="shared" si="158"/>
        <v>0</v>
      </c>
      <c r="X631" s="193">
        <f t="shared" si="159"/>
        <v>422</v>
      </c>
      <c r="Y631" s="193">
        <f t="shared" si="160"/>
        <v>0</v>
      </c>
      <c r="Z631" s="195">
        <f t="shared" si="161"/>
        <v>0.46527012127894157</v>
      </c>
      <c r="AA631" s="194">
        <f t="shared" si="162"/>
        <v>0</v>
      </c>
    </row>
    <row r="632" spans="1:27" ht="15" customHeight="1">
      <c r="A632" s="4"/>
      <c r="B632" s="354" t="s">
        <v>78</v>
      </c>
      <c r="C632" s="362"/>
      <c r="D632" s="363"/>
      <c r="E632" s="364"/>
      <c r="F632" s="365"/>
      <c r="G632" s="366"/>
      <c r="H632" s="367"/>
      <c r="I632" s="368"/>
      <c r="J632" s="369"/>
      <c r="K632" s="369"/>
      <c r="L632" s="370"/>
      <c r="M632" s="370"/>
      <c r="N632" s="365"/>
      <c r="O632" s="371"/>
      <c r="P632" s="370"/>
      <c r="Q632" s="370"/>
      <c r="R632" s="370"/>
      <c r="S632" s="370"/>
      <c r="T632" s="370"/>
      <c r="U632" s="102"/>
    </row>
    <row r="633" spans="1:27">
      <c r="A633" s="4"/>
      <c r="B633" s="328" t="s">
        <v>56</v>
      </c>
      <c r="C633" s="329"/>
      <c r="D633" s="330"/>
      <c r="E633" s="331" t="s">
        <v>58</v>
      </c>
      <c r="F633" s="332"/>
      <c r="G633" s="348">
        <v>35</v>
      </c>
      <c r="H633" s="359"/>
      <c r="I633" s="360">
        <v>0</v>
      </c>
      <c r="J633" s="341"/>
      <c r="K633" s="361"/>
      <c r="L633" s="350">
        <v>0</v>
      </c>
      <c r="M633" s="351"/>
      <c r="N633" s="352"/>
      <c r="O633" s="353">
        <v>35</v>
      </c>
      <c r="P633" s="351"/>
      <c r="Q633" s="349"/>
      <c r="R633" s="350">
        <v>35</v>
      </c>
      <c r="S633" s="351"/>
      <c r="T633" s="349"/>
      <c r="U633" s="6">
        <f t="shared" ref="U633" si="163">R633/G633</f>
        <v>1</v>
      </c>
      <c r="V633" s="193">
        <f t="shared" ref="V633:V634" si="164">+I633+O512</f>
        <v>35</v>
      </c>
      <c r="W633" s="193">
        <f t="shared" ref="W633:W634" si="165">+O633-V633</f>
        <v>0</v>
      </c>
      <c r="X633" s="193">
        <f t="shared" ref="X633:X634" si="166">+L633+R512</f>
        <v>35</v>
      </c>
      <c r="Y633" s="193">
        <f t="shared" ref="Y633:Y634" si="167">+R633-X633</f>
        <v>0</v>
      </c>
      <c r="Z633" s="195">
        <f t="shared" ref="Z633:Z634" si="168">+X633/G633</f>
        <v>1</v>
      </c>
      <c r="AA633" s="194">
        <f t="shared" ref="AA633:AA634" si="169">+U633-Z633</f>
        <v>0</v>
      </c>
    </row>
    <row r="634" spans="1:27">
      <c r="A634" s="159"/>
      <c r="B634" s="328" t="s">
        <v>57</v>
      </c>
      <c r="C634" s="329"/>
      <c r="D634" s="330"/>
      <c r="E634" s="331" t="s">
        <v>58</v>
      </c>
      <c r="F634" s="332"/>
      <c r="G634" s="348">
        <v>907</v>
      </c>
      <c r="H634" s="349"/>
      <c r="I634" s="360">
        <v>70</v>
      </c>
      <c r="J634" s="341"/>
      <c r="K634" s="361"/>
      <c r="L634" s="350">
        <v>55</v>
      </c>
      <c r="M634" s="351"/>
      <c r="N634" s="352"/>
      <c r="O634" s="353">
        <f>70+70+70+88+84+70</f>
        <v>452</v>
      </c>
      <c r="P634" s="351"/>
      <c r="Q634" s="349"/>
      <c r="R634" s="350">
        <f>70+70+70+88+69+55</f>
        <v>422</v>
      </c>
      <c r="S634" s="351"/>
      <c r="T634" s="349"/>
      <c r="U634" s="54">
        <f>R634/G634</f>
        <v>0.46527012127894157</v>
      </c>
      <c r="V634" s="193">
        <f t="shared" si="164"/>
        <v>452</v>
      </c>
      <c r="W634" s="193">
        <f t="shared" si="165"/>
        <v>0</v>
      </c>
      <c r="X634" s="193">
        <f t="shared" si="166"/>
        <v>422</v>
      </c>
      <c r="Y634" s="193">
        <f t="shared" si="167"/>
        <v>0</v>
      </c>
      <c r="Z634" s="195">
        <f t="shared" si="168"/>
        <v>0.46527012127894157</v>
      </c>
      <c r="AA634" s="194">
        <f t="shared" si="169"/>
        <v>0</v>
      </c>
    </row>
    <row r="635" spans="1:27" ht="15" customHeight="1">
      <c r="A635" s="4"/>
      <c r="B635" s="354" t="s">
        <v>79</v>
      </c>
      <c r="C635" s="362"/>
      <c r="D635" s="363"/>
      <c r="E635" s="364"/>
      <c r="F635" s="365"/>
      <c r="G635" s="366"/>
      <c r="H635" s="367"/>
      <c r="I635" s="368"/>
      <c r="J635" s="369"/>
      <c r="K635" s="369"/>
      <c r="L635" s="370"/>
      <c r="M635" s="370"/>
      <c r="N635" s="365"/>
      <c r="O635" s="371"/>
      <c r="P635" s="370"/>
      <c r="Q635" s="370"/>
      <c r="R635" s="370"/>
      <c r="S635" s="370"/>
      <c r="T635" s="370"/>
      <c r="U635" s="102"/>
    </row>
    <row r="636" spans="1:27">
      <c r="A636" s="4"/>
      <c r="B636" s="328" t="s">
        <v>56</v>
      </c>
      <c r="C636" s="329"/>
      <c r="D636" s="330"/>
      <c r="E636" s="331" t="s">
        <v>58</v>
      </c>
      <c r="F636" s="332"/>
      <c r="G636" s="348">
        <v>96</v>
      </c>
      <c r="H636" s="359"/>
      <c r="I636" s="360">
        <v>0</v>
      </c>
      <c r="J636" s="341"/>
      <c r="K636" s="361"/>
      <c r="L636" s="350">
        <v>0</v>
      </c>
      <c r="M636" s="351"/>
      <c r="N636" s="352"/>
      <c r="O636" s="353">
        <v>96</v>
      </c>
      <c r="P636" s="351"/>
      <c r="Q636" s="349"/>
      <c r="R636" s="350">
        <v>96</v>
      </c>
      <c r="S636" s="351"/>
      <c r="T636" s="349"/>
      <c r="U636" s="54">
        <f t="shared" ref="U636" si="170">R636/G636</f>
        <v>1</v>
      </c>
      <c r="V636" s="193">
        <f t="shared" ref="V636:V637" si="171">+I636+O515</f>
        <v>96</v>
      </c>
      <c r="W636" s="193">
        <f t="shared" ref="W636:W637" si="172">+O636-V636</f>
        <v>0</v>
      </c>
      <c r="X636" s="193">
        <f t="shared" ref="X636:X637" si="173">+L636+R515</f>
        <v>96</v>
      </c>
      <c r="Y636" s="193">
        <f t="shared" ref="Y636:Y637" si="174">+R636-X636</f>
        <v>0</v>
      </c>
      <c r="Z636" s="195">
        <f t="shared" ref="Z636:Z637" si="175">+X636/G636</f>
        <v>1</v>
      </c>
      <c r="AA636" s="194">
        <f t="shared" ref="AA636:AA637" si="176">+U636-Z636</f>
        <v>0</v>
      </c>
    </row>
    <row r="637" spans="1:27">
      <c r="A637" s="159"/>
      <c r="B637" s="328" t="s">
        <v>57</v>
      </c>
      <c r="C637" s="329"/>
      <c r="D637" s="330"/>
      <c r="E637" s="331" t="s">
        <v>58</v>
      </c>
      <c r="F637" s="332"/>
      <c r="G637" s="348">
        <v>1440</v>
      </c>
      <c r="H637" s="349"/>
      <c r="I637" s="360">
        <v>192</v>
      </c>
      <c r="J637" s="341"/>
      <c r="K637" s="361"/>
      <c r="L637" s="350">
        <v>192</v>
      </c>
      <c r="M637" s="351"/>
      <c r="N637" s="352"/>
      <c r="O637" s="353">
        <f>126+258+192</f>
        <v>576</v>
      </c>
      <c r="P637" s="351"/>
      <c r="Q637" s="349"/>
      <c r="R637" s="350">
        <f>126+258+192</f>
        <v>576</v>
      </c>
      <c r="S637" s="351"/>
      <c r="T637" s="349"/>
      <c r="U637" s="54">
        <f>R637/G637</f>
        <v>0.4</v>
      </c>
      <c r="V637" s="193">
        <f t="shared" si="171"/>
        <v>576</v>
      </c>
      <c r="W637" s="193">
        <f t="shared" si="172"/>
        <v>0</v>
      </c>
      <c r="X637" s="193">
        <f t="shared" si="173"/>
        <v>576</v>
      </c>
      <c r="Y637" s="193">
        <f t="shared" si="174"/>
        <v>0</v>
      </c>
      <c r="Z637" s="195">
        <f t="shared" si="175"/>
        <v>0.4</v>
      </c>
      <c r="AA637" s="194">
        <f t="shared" si="176"/>
        <v>0</v>
      </c>
    </row>
    <row r="638" spans="1:27">
      <c r="A638" s="4"/>
      <c r="B638" s="354" t="s">
        <v>63</v>
      </c>
      <c r="C638" s="355"/>
      <c r="D638" s="356"/>
      <c r="E638" s="357"/>
      <c r="F638" s="358"/>
      <c r="G638" s="348"/>
      <c r="H638" s="349"/>
      <c r="I638" s="360"/>
      <c r="J638" s="341"/>
      <c r="K638" s="361"/>
      <c r="L638" s="353"/>
      <c r="M638" s="351"/>
      <c r="N638" s="352"/>
      <c r="O638" s="353"/>
      <c r="P638" s="351"/>
      <c r="Q638" s="351"/>
      <c r="R638" s="351"/>
      <c r="S638" s="351"/>
      <c r="T638" s="351"/>
      <c r="U638" s="6"/>
    </row>
    <row r="639" spans="1:27">
      <c r="A639" s="159"/>
      <c r="B639" s="328" t="s">
        <v>60</v>
      </c>
      <c r="C639" s="329"/>
      <c r="D639" s="330"/>
      <c r="E639" s="331" t="s">
        <v>58</v>
      </c>
      <c r="F639" s="332"/>
      <c r="G639" s="348">
        <v>12</v>
      </c>
      <c r="H639" s="359"/>
      <c r="I639" s="350">
        <v>2</v>
      </c>
      <c r="J639" s="351"/>
      <c r="K639" s="349"/>
      <c r="L639" s="350">
        <v>2</v>
      </c>
      <c r="M639" s="351"/>
      <c r="N639" s="352"/>
      <c r="O639" s="353">
        <f>2</f>
        <v>2</v>
      </c>
      <c r="P639" s="351"/>
      <c r="Q639" s="349"/>
      <c r="R639" s="350">
        <f>2</f>
        <v>2</v>
      </c>
      <c r="S639" s="351"/>
      <c r="T639" s="349"/>
      <c r="U639" s="54">
        <f>R639/G639</f>
        <v>0.16666666666666666</v>
      </c>
      <c r="V639" s="193">
        <f>+I639+O518</f>
        <v>2</v>
      </c>
      <c r="W639" s="193">
        <f>+O639-V639</f>
        <v>0</v>
      </c>
      <c r="X639" s="193">
        <f>+L639+R518</f>
        <v>2</v>
      </c>
      <c r="Y639" s="193">
        <f>+R639-X639</f>
        <v>0</v>
      </c>
      <c r="Z639" s="195">
        <f>+X639/G639</f>
        <v>0.16666666666666666</v>
      </c>
      <c r="AA639" s="194">
        <f>+U639-Z639</f>
        <v>0</v>
      </c>
    </row>
    <row r="640" spans="1:27">
      <c r="A640" s="4"/>
      <c r="B640" s="354" t="s">
        <v>61</v>
      </c>
      <c r="C640" s="355"/>
      <c r="D640" s="356"/>
      <c r="E640" s="357"/>
      <c r="F640" s="358"/>
      <c r="G640" s="348"/>
      <c r="H640" s="349"/>
      <c r="I640" s="350"/>
      <c r="J640" s="351"/>
      <c r="K640" s="349"/>
      <c r="L640" s="353"/>
      <c r="M640" s="351"/>
      <c r="N640" s="352"/>
      <c r="O640" s="353"/>
      <c r="P640" s="351"/>
      <c r="Q640" s="351"/>
      <c r="R640" s="351"/>
      <c r="S640" s="351"/>
      <c r="T640" s="351"/>
      <c r="U640" s="6"/>
    </row>
    <row r="641" spans="1:27" ht="15" customHeight="1">
      <c r="A641" s="159"/>
      <c r="B641" s="328" t="s">
        <v>61</v>
      </c>
      <c r="C641" s="329"/>
      <c r="D641" s="330"/>
      <c r="E641" s="331" t="s">
        <v>58</v>
      </c>
      <c r="F641" s="332"/>
      <c r="G641" s="348">
        <v>15</v>
      </c>
      <c r="H641" s="349"/>
      <c r="I641" s="350">
        <v>5</v>
      </c>
      <c r="J641" s="351"/>
      <c r="K641" s="349"/>
      <c r="L641" s="350">
        <v>0</v>
      </c>
      <c r="M641" s="351"/>
      <c r="N641" s="352"/>
      <c r="O641" s="353">
        <f>5</f>
        <v>5</v>
      </c>
      <c r="P641" s="351"/>
      <c r="Q641" s="349"/>
      <c r="R641" s="350">
        <f>0</f>
        <v>0</v>
      </c>
      <c r="S641" s="351"/>
      <c r="T641" s="349"/>
      <c r="U641" s="54">
        <f>R641/G641</f>
        <v>0</v>
      </c>
      <c r="V641" s="193">
        <f>+I641+O520</f>
        <v>5</v>
      </c>
      <c r="W641" s="193">
        <f>+O641-V641</f>
        <v>0</v>
      </c>
      <c r="X641" s="193">
        <f>+L641+R520</f>
        <v>0</v>
      </c>
      <c r="Y641" s="193">
        <f>+R641-X641</f>
        <v>0</v>
      </c>
      <c r="Z641" s="195">
        <f>+X641/G641</f>
        <v>0</v>
      </c>
      <c r="AA641" s="194">
        <f>+U641-Z641</f>
        <v>0</v>
      </c>
    </row>
    <row r="642" spans="1:27" ht="15" customHeight="1">
      <c r="A642" s="4"/>
      <c r="B642" s="354" t="s">
        <v>62</v>
      </c>
      <c r="C642" s="355"/>
      <c r="D642" s="356"/>
      <c r="E642" s="357"/>
      <c r="F642" s="358"/>
      <c r="G642" s="348"/>
      <c r="H642" s="349"/>
      <c r="I642" s="350"/>
      <c r="J642" s="351"/>
      <c r="K642" s="349"/>
      <c r="L642" s="353"/>
      <c r="M642" s="351"/>
      <c r="N642" s="352"/>
      <c r="O642" s="353"/>
      <c r="P642" s="351"/>
      <c r="Q642" s="351"/>
      <c r="R642" s="351"/>
      <c r="S642" s="351"/>
      <c r="T642" s="351"/>
      <c r="U642" s="6"/>
    </row>
    <row r="643" spans="1:27" ht="15" customHeight="1" thickBot="1">
      <c r="A643" s="159"/>
      <c r="B643" s="328" t="s">
        <v>62</v>
      </c>
      <c r="C643" s="329"/>
      <c r="D643" s="330"/>
      <c r="E643" s="331" t="s">
        <v>58</v>
      </c>
      <c r="F643" s="332"/>
      <c r="G643" s="333">
        <v>1</v>
      </c>
      <c r="H643" s="334"/>
      <c r="I643" s="335">
        <v>0</v>
      </c>
      <c r="J643" s="336"/>
      <c r="K643" s="334"/>
      <c r="L643" s="458">
        <v>0</v>
      </c>
      <c r="M643" s="336"/>
      <c r="N643" s="459"/>
      <c r="O643" s="353">
        <v>0</v>
      </c>
      <c r="P643" s="351"/>
      <c r="Q643" s="351"/>
      <c r="R643" s="351">
        <v>0</v>
      </c>
      <c r="S643" s="351"/>
      <c r="T643" s="351"/>
      <c r="U643" s="54">
        <f>R643/G643</f>
        <v>0</v>
      </c>
      <c r="V643" s="193">
        <f>+I643+O522</f>
        <v>0</v>
      </c>
      <c r="W643" s="193">
        <f>+O643-V643</f>
        <v>0</v>
      </c>
      <c r="X643" s="193">
        <f>+L643+R522</f>
        <v>0</v>
      </c>
      <c r="Y643" s="193">
        <f>+R643-X643</f>
        <v>0</v>
      </c>
      <c r="Z643" s="195">
        <f>+X643/G643</f>
        <v>0</v>
      </c>
      <c r="AA643" s="194">
        <f>+U643-Z643</f>
        <v>0</v>
      </c>
    </row>
    <row r="644" spans="1:27" ht="15.75" thickBot="1">
      <c r="A644" s="4"/>
      <c r="B644" s="342" t="s">
        <v>21</v>
      </c>
      <c r="C644" s="343"/>
      <c r="D644" s="343"/>
      <c r="E644" s="343"/>
      <c r="F644" s="344"/>
      <c r="G644" s="345"/>
      <c r="H644" s="346"/>
      <c r="I644" s="346"/>
      <c r="J644" s="346"/>
      <c r="K644" s="346"/>
      <c r="L644" s="346"/>
      <c r="M644" s="346"/>
      <c r="N644" s="347"/>
      <c r="O644" s="345"/>
      <c r="P644" s="346"/>
      <c r="Q644" s="346"/>
      <c r="R644" s="346"/>
      <c r="S644" s="346"/>
      <c r="T644" s="346"/>
      <c r="U644" s="347"/>
    </row>
    <row r="645" spans="1:27" ht="15.75" thickBot="1">
      <c r="B645" s="7"/>
      <c r="C645" s="8"/>
      <c r="D645" s="9"/>
      <c r="E645" s="10"/>
      <c r="F645" s="11"/>
      <c r="G645" s="12"/>
      <c r="H645" s="13"/>
      <c r="I645" s="14"/>
      <c r="J645" s="14"/>
      <c r="K645" s="15"/>
      <c r="L645" s="14"/>
      <c r="M645" s="15"/>
      <c r="N645" s="14"/>
      <c r="O645" s="14"/>
      <c r="P645" s="14"/>
      <c r="Q645" s="14"/>
      <c r="R645" s="15"/>
      <c r="S645" s="14"/>
      <c r="T645" s="12"/>
      <c r="U645" s="14"/>
    </row>
    <row r="646" spans="1:27" ht="16.5" customHeight="1" thickBot="1">
      <c r="A646" s="4"/>
      <c r="B646" s="306" t="s">
        <v>22</v>
      </c>
      <c r="C646" s="307"/>
      <c r="D646" s="307"/>
      <c r="E646" s="307"/>
      <c r="F646" s="308"/>
      <c r="G646" s="312" t="s">
        <v>129</v>
      </c>
      <c r="H646" s="313"/>
      <c r="I646" s="313"/>
      <c r="J646" s="313"/>
      <c r="K646" s="313"/>
      <c r="L646" s="313"/>
      <c r="M646" s="313"/>
      <c r="N646" s="313"/>
      <c r="O646" s="313"/>
      <c r="P646" s="313"/>
      <c r="Q646" s="313"/>
      <c r="R646" s="313"/>
      <c r="S646" s="313"/>
      <c r="T646" s="313"/>
      <c r="U646" s="314"/>
    </row>
    <row r="647" spans="1:27" ht="15.75" thickBot="1">
      <c r="A647" s="4"/>
      <c r="B647" s="309"/>
      <c r="C647" s="310"/>
      <c r="D647" s="310"/>
      <c r="E647" s="310"/>
      <c r="F647" s="311"/>
      <c r="G647" s="315" t="s">
        <v>24</v>
      </c>
      <c r="H647" s="316"/>
      <c r="I647" s="310" t="s">
        <v>16</v>
      </c>
      <c r="J647" s="310"/>
      <c r="K647" s="310"/>
      <c r="L647" s="310"/>
      <c r="M647" s="310"/>
      <c r="N647" s="311"/>
      <c r="O647" s="321" t="s">
        <v>17</v>
      </c>
      <c r="P647" s="322"/>
      <c r="Q647" s="322"/>
      <c r="R647" s="322"/>
      <c r="S647" s="322"/>
      <c r="T647" s="322"/>
      <c r="U647" s="323"/>
    </row>
    <row r="648" spans="1:27" ht="15.75" customHeight="1" thickBot="1">
      <c r="A648" s="4"/>
      <c r="B648" s="309"/>
      <c r="C648" s="310"/>
      <c r="D648" s="310"/>
      <c r="E648" s="310"/>
      <c r="F648" s="311"/>
      <c r="G648" s="317"/>
      <c r="H648" s="318"/>
      <c r="I648" s="267" t="s">
        <v>18</v>
      </c>
      <c r="J648" s="268"/>
      <c r="K648" s="269"/>
      <c r="L648" s="267" t="s">
        <v>25</v>
      </c>
      <c r="M648" s="268"/>
      <c r="N648" s="269"/>
      <c r="O648" s="267" t="s">
        <v>18</v>
      </c>
      <c r="P648" s="268"/>
      <c r="Q648" s="324"/>
      <c r="R648" s="325" t="s">
        <v>25</v>
      </c>
      <c r="S648" s="268"/>
      <c r="T648" s="269"/>
      <c r="U648" s="326" t="s">
        <v>20</v>
      </c>
      <c r="V648" s="200" t="s">
        <v>153</v>
      </c>
      <c r="W648" s="201"/>
      <c r="X648" s="200" t="s">
        <v>154</v>
      </c>
      <c r="Y648" s="201"/>
      <c r="Z648" s="200" t="s">
        <v>155</v>
      </c>
      <c r="AA648" s="201"/>
    </row>
    <row r="649" spans="1:27" ht="25.5" customHeight="1" thickBot="1">
      <c r="A649" s="4"/>
      <c r="B649" s="309"/>
      <c r="C649" s="310"/>
      <c r="D649" s="310"/>
      <c r="E649" s="310"/>
      <c r="F649" s="311"/>
      <c r="G649" s="319"/>
      <c r="H649" s="320"/>
      <c r="I649" s="99" t="s">
        <v>26</v>
      </c>
      <c r="J649" s="101" t="s">
        <v>27</v>
      </c>
      <c r="K649" s="101" t="s">
        <v>28</v>
      </c>
      <c r="L649" s="99" t="s">
        <v>26</v>
      </c>
      <c r="M649" s="101" t="s">
        <v>27</v>
      </c>
      <c r="N649" s="100" t="s">
        <v>28</v>
      </c>
      <c r="O649" s="19" t="s">
        <v>26</v>
      </c>
      <c r="P649" s="99" t="s">
        <v>27</v>
      </c>
      <c r="Q649" s="20" t="s">
        <v>28</v>
      </c>
      <c r="R649" s="21" t="s">
        <v>26</v>
      </c>
      <c r="S649" s="98" t="s">
        <v>27</v>
      </c>
      <c r="T649" s="101" t="s">
        <v>28</v>
      </c>
      <c r="U649" s="327"/>
      <c r="V649" s="202"/>
      <c r="W649" s="203"/>
      <c r="X649" s="202"/>
      <c r="Y649" s="203"/>
      <c r="Z649" s="202"/>
      <c r="AA649" s="203"/>
    </row>
    <row r="650" spans="1:27" ht="15.75" thickBot="1">
      <c r="A650" s="4"/>
      <c r="B650" s="302" t="s">
        <v>29</v>
      </c>
      <c r="C650" s="303"/>
      <c r="D650" s="303"/>
      <c r="E650" s="303"/>
      <c r="F650" s="303"/>
      <c r="G650" s="303"/>
      <c r="H650" s="303"/>
      <c r="I650" s="303"/>
      <c r="J650" s="303"/>
      <c r="K650" s="303"/>
      <c r="L650" s="303"/>
      <c r="M650" s="303"/>
      <c r="N650" s="303"/>
      <c r="O650" s="303"/>
      <c r="P650" s="303"/>
      <c r="Q650" s="303"/>
      <c r="R650" s="303"/>
      <c r="S650" s="303"/>
      <c r="T650" s="303"/>
      <c r="U650" s="304"/>
    </row>
    <row r="651" spans="1:27" s="40" customFormat="1" ht="15.75" customHeight="1">
      <c r="A651" s="166"/>
      <c r="B651" s="287" t="s">
        <v>82</v>
      </c>
      <c r="C651" s="288"/>
      <c r="D651" s="288"/>
      <c r="E651" s="288"/>
      <c r="F651" s="289"/>
      <c r="G651" s="290">
        <v>1908</v>
      </c>
      <c r="H651" s="305"/>
      <c r="I651" s="158">
        <v>0</v>
      </c>
      <c r="J651" s="141">
        <v>0</v>
      </c>
      <c r="K651" s="141">
        <v>0</v>
      </c>
      <c r="L651" s="141">
        <v>0</v>
      </c>
      <c r="M651" s="141">
        <v>0</v>
      </c>
      <c r="N651" s="141">
        <v>0</v>
      </c>
      <c r="O651" s="141">
        <v>1908</v>
      </c>
      <c r="P651" s="141">
        <v>0</v>
      </c>
      <c r="Q651" s="154">
        <v>0</v>
      </c>
      <c r="R651" s="141">
        <v>0</v>
      </c>
      <c r="S651" s="141">
        <v>0</v>
      </c>
      <c r="T651" s="154">
        <v>0</v>
      </c>
      <c r="U651" s="155">
        <f>R651/G651</f>
        <v>0</v>
      </c>
      <c r="V651" s="128">
        <f>+I651+O530</f>
        <v>1908</v>
      </c>
      <c r="W651" s="128">
        <f>+O651-V651</f>
        <v>0</v>
      </c>
      <c r="X651" s="128">
        <f>+L651+R530</f>
        <v>0</v>
      </c>
      <c r="Y651" s="128">
        <f>+R651-X651</f>
        <v>0</v>
      </c>
      <c r="Z651" s="195">
        <f>+X651/G651</f>
        <v>0</v>
      </c>
      <c r="AA651" s="194">
        <f>+U651-Z651</f>
        <v>0</v>
      </c>
    </row>
    <row r="652" spans="1:27" s="40" customFormat="1">
      <c r="A652" s="166"/>
      <c r="B652" s="274" t="s">
        <v>83</v>
      </c>
      <c r="C652" s="275"/>
      <c r="D652" s="275"/>
      <c r="E652" s="275"/>
      <c r="F652" s="276"/>
      <c r="G652" s="277">
        <v>9000</v>
      </c>
      <c r="H652" s="292"/>
      <c r="I652" s="142">
        <v>0</v>
      </c>
      <c r="J652" s="117">
        <v>0</v>
      </c>
      <c r="K652" s="117">
        <v>0</v>
      </c>
      <c r="L652" s="117">
        <v>0</v>
      </c>
      <c r="M652" s="117">
        <v>0</v>
      </c>
      <c r="N652" s="117">
        <v>0</v>
      </c>
      <c r="O652" s="117">
        <v>3000</v>
      </c>
      <c r="P652" s="117">
        <v>0</v>
      </c>
      <c r="Q652" s="117">
        <v>0</v>
      </c>
      <c r="R652" s="117">
        <v>0</v>
      </c>
      <c r="S652" s="117">
        <v>0</v>
      </c>
      <c r="T652" s="117">
        <v>0</v>
      </c>
      <c r="U652" s="153">
        <f>R652/G652</f>
        <v>0</v>
      </c>
      <c r="V652" s="128">
        <f t="shared" ref="V652:V671" si="177">+I652+O531</f>
        <v>3000</v>
      </c>
      <c r="W652" s="128">
        <f t="shared" ref="W652:W671" si="178">+O652-V652</f>
        <v>0</v>
      </c>
      <c r="X652" s="128">
        <f t="shared" ref="X652:X671" si="179">+L652+R531</f>
        <v>0</v>
      </c>
      <c r="Y652" s="128">
        <f t="shared" ref="Y652:Y671" si="180">+R652-X652</f>
        <v>0</v>
      </c>
      <c r="Z652" s="195">
        <f t="shared" ref="Z652:Z671" si="181">+X652/G652</f>
        <v>0</v>
      </c>
      <c r="AA652" s="194">
        <f t="shared" ref="AA652:AA671" si="182">+U652-Z652</f>
        <v>0</v>
      </c>
    </row>
    <row r="653" spans="1:27" s="40" customFormat="1">
      <c r="A653" s="166"/>
      <c r="B653" s="274" t="s">
        <v>84</v>
      </c>
      <c r="C653" s="275"/>
      <c r="D653" s="275"/>
      <c r="E653" s="275"/>
      <c r="F653" s="276"/>
      <c r="G653" s="277">
        <v>15000</v>
      </c>
      <c r="H653" s="292"/>
      <c r="I653" s="142">
        <v>0</v>
      </c>
      <c r="J653" s="117">
        <v>0</v>
      </c>
      <c r="K653" s="117">
        <v>0</v>
      </c>
      <c r="L653" s="117">
        <v>0</v>
      </c>
      <c r="M653" s="117">
        <v>0</v>
      </c>
      <c r="N653" s="117">
        <v>0</v>
      </c>
      <c r="O653" s="117">
        <v>15000</v>
      </c>
      <c r="P653" s="117">
        <v>0</v>
      </c>
      <c r="Q653" s="117">
        <v>0</v>
      </c>
      <c r="R653" s="117">
        <v>0</v>
      </c>
      <c r="S653" s="117">
        <v>0</v>
      </c>
      <c r="T653" s="117">
        <v>0</v>
      </c>
      <c r="U653" s="153">
        <f>R653/G653</f>
        <v>0</v>
      </c>
      <c r="V653" s="128">
        <f t="shared" si="177"/>
        <v>15000</v>
      </c>
      <c r="W653" s="128">
        <f t="shared" si="178"/>
        <v>0</v>
      </c>
      <c r="X653" s="128">
        <f t="shared" si="179"/>
        <v>0</v>
      </c>
      <c r="Y653" s="128">
        <f t="shared" si="180"/>
        <v>0</v>
      </c>
      <c r="Z653" s="195">
        <f t="shared" si="181"/>
        <v>0</v>
      </c>
      <c r="AA653" s="194">
        <f t="shared" si="182"/>
        <v>0</v>
      </c>
    </row>
    <row r="654" spans="1:27" s="40" customFormat="1">
      <c r="A654" s="166"/>
      <c r="B654" s="274" t="s">
        <v>85</v>
      </c>
      <c r="C654" s="275"/>
      <c r="D654" s="275"/>
      <c r="E654" s="275"/>
      <c r="F654" s="276"/>
      <c r="G654" s="277">
        <v>2000</v>
      </c>
      <c r="H654" s="292"/>
      <c r="I654" s="142">
        <v>2000</v>
      </c>
      <c r="J654" s="117">
        <v>0</v>
      </c>
      <c r="K654" s="117">
        <v>0</v>
      </c>
      <c r="L654" s="117">
        <v>0</v>
      </c>
      <c r="M654" s="117">
        <v>0</v>
      </c>
      <c r="N654" s="117">
        <v>0</v>
      </c>
      <c r="O654" s="117">
        <v>2000</v>
      </c>
      <c r="P654" s="117">
        <v>0</v>
      </c>
      <c r="Q654" s="117">
        <v>0</v>
      </c>
      <c r="R654" s="117">
        <v>0</v>
      </c>
      <c r="S654" s="117">
        <v>0</v>
      </c>
      <c r="T654" s="117">
        <v>0</v>
      </c>
      <c r="U654" s="153">
        <f>R654/G654</f>
        <v>0</v>
      </c>
      <c r="V654" s="128">
        <f t="shared" si="177"/>
        <v>2000</v>
      </c>
      <c r="W654" s="128">
        <f t="shared" si="178"/>
        <v>0</v>
      </c>
      <c r="X654" s="128">
        <f t="shared" si="179"/>
        <v>0</v>
      </c>
      <c r="Y654" s="128">
        <f t="shared" si="180"/>
        <v>0</v>
      </c>
      <c r="Z654" s="195">
        <f t="shared" si="181"/>
        <v>0</v>
      </c>
      <c r="AA654" s="194">
        <f t="shared" si="182"/>
        <v>0</v>
      </c>
    </row>
    <row r="655" spans="1:27" s="40" customFormat="1">
      <c r="A655" s="166"/>
      <c r="B655" s="274" t="s">
        <v>119</v>
      </c>
      <c r="C655" s="275"/>
      <c r="D655" s="275"/>
      <c r="E655" s="275"/>
      <c r="F655" s="276"/>
      <c r="G655" s="277">
        <v>198000</v>
      </c>
      <c r="H655" s="292"/>
      <c r="I655" s="142">
        <v>16500</v>
      </c>
      <c r="J655" s="117">
        <v>0</v>
      </c>
      <c r="K655" s="117">
        <v>0</v>
      </c>
      <c r="L655" s="117">
        <v>5000</v>
      </c>
      <c r="M655" s="117">
        <v>0</v>
      </c>
      <c r="N655" s="117">
        <v>0</v>
      </c>
      <c r="O655" s="117">
        <f>16500+16500+16500+16500+16500+16500</f>
        <v>99000</v>
      </c>
      <c r="P655" s="117">
        <v>0</v>
      </c>
      <c r="Q655" s="117">
        <v>0</v>
      </c>
      <c r="R655" s="117">
        <f>0+0+0+5000+2500+5000</f>
        <v>12500</v>
      </c>
      <c r="S655" s="117">
        <v>0</v>
      </c>
      <c r="T655" s="117">
        <v>0</v>
      </c>
      <c r="U655" s="153">
        <f>R655/G655</f>
        <v>6.3131313131313135E-2</v>
      </c>
      <c r="V655" s="128">
        <f t="shared" si="177"/>
        <v>99000</v>
      </c>
      <c r="W655" s="128">
        <f t="shared" si="178"/>
        <v>0</v>
      </c>
      <c r="X655" s="128">
        <f t="shared" si="179"/>
        <v>12500</v>
      </c>
      <c r="Y655" s="128">
        <f t="shared" si="180"/>
        <v>0</v>
      </c>
      <c r="Z655" s="195">
        <f t="shared" si="181"/>
        <v>6.3131313131313135E-2</v>
      </c>
      <c r="AA655" s="194">
        <f t="shared" si="182"/>
        <v>0</v>
      </c>
    </row>
    <row r="656" spans="1:27" s="40" customFormat="1">
      <c r="A656" s="166"/>
      <c r="B656" s="274" t="s">
        <v>130</v>
      </c>
      <c r="C656" s="275"/>
      <c r="D656" s="275"/>
      <c r="E656" s="275"/>
      <c r="F656" s="276"/>
      <c r="G656" s="277">
        <v>13000</v>
      </c>
      <c r="H656" s="292"/>
      <c r="I656" s="142">
        <v>0</v>
      </c>
      <c r="J656" s="117">
        <v>0</v>
      </c>
      <c r="K656" s="117">
        <v>0</v>
      </c>
      <c r="L656" s="117">
        <v>0</v>
      </c>
      <c r="M656" s="117">
        <v>0</v>
      </c>
      <c r="N656" s="117">
        <v>0</v>
      </c>
      <c r="O656" s="117">
        <v>0</v>
      </c>
      <c r="P656" s="117">
        <v>0</v>
      </c>
      <c r="Q656" s="117">
        <v>0</v>
      </c>
      <c r="R656" s="117">
        <v>0</v>
      </c>
      <c r="S656" s="117">
        <v>0</v>
      </c>
      <c r="T656" s="117">
        <v>0</v>
      </c>
      <c r="U656" s="153">
        <f t="shared" ref="U656:U665" si="183">R656/G656</f>
        <v>0</v>
      </c>
      <c r="V656" s="128">
        <f t="shared" si="177"/>
        <v>0</v>
      </c>
      <c r="W656" s="128">
        <f t="shared" si="178"/>
        <v>0</v>
      </c>
      <c r="X656" s="128">
        <f t="shared" si="179"/>
        <v>0</v>
      </c>
      <c r="Y656" s="128">
        <f t="shared" si="180"/>
        <v>0</v>
      </c>
      <c r="Z656" s="195">
        <f t="shared" si="181"/>
        <v>0</v>
      </c>
      <c r="AA656" s="194">
        <f t="shared" si="182"/>
        <v>0</v>
      </c>
    </row>
    <row r="657" spans="1:27" s="40" customFormat="1">
      <c r="A657" s="166"/>
      <c r="B657" s="274" t="s">
        <v>86</v>
      </c>
      <c r="C657" s="275"/>
      <c r="D657" s="275"/>
      <c r="E657" s="275"/>
      <c r="F657" s="276"/>
      <c r="G657" s="277">
        <v>30000</v>
      </c>
      <c r="H657" s="292"/>
      <c r="I657" s="142">
        <v>0</v>
      </c>
      <c r="J657" s="117">
        <v>0</v>
      </c>
      <c r="K657" s="117">
        <v>0</v>
      </c>
      <c r="L657" s="117">
        <v>0</v>
      </c>
      <c r="M657" s="117">
        <v>0</v>
      </c>
      <c r="N657" s="117">
        <v>0</v>
      </c>
      <c r="O657" s="117">
        <f>30000</f>
        <v>30000</v>
      </c>
      <c r="P657" s="117">
        <v>0</v>
      </c>
      <c r="Q657" s="117">
        <v>0</v>
      </c>
      <c r="R657" s="117">
        <f>0+0+0+0</f>
        <v>0</v>
      </c>
      <c r="S657" s="117">
        <v>0</v>
      </c>
      <c r="T657" s="117">
        <v>0</v>
      </c>
      <c r="U657" s="153">
        <f t="shared" si="183"/>
        <v>0</v>
      </c>
      <c r="V657" s="128">
        <f t="shared" si="177"/>
        <v>30000</v>
      </c>
      <c r="W657" s="128">
        <f t="shared" si="178"/>
        <v>0</v>
      </c>
      <c r="X657" s="128">
        <f t="shared" si="179"/>
        <v>0</v>
      </c>
      <c r="Y657" s="128">
        <f t="shared" si="180"/>
        <v>0</v>
      </c>
      <c r="Z657" s="195">
        <f t="shared" si="181"/>
        <v>0</v>
      </c>
      <c r="AA657" s="194">
        <f t="shared" si="182"/>
        <v>0</v>
      </c>
    </row>
    <row r="658" spans="1:27" s="40" customFormat="1">
      <c r="A658" s="166"/>
      <c r="B658" s="274" t="s">
        <v>88</v>
      </c>
      <c r="C658" s="275"/>
      <c r="D658" s="275"/>
      <c r="E658" s="275"/>
      <c r="F658" s="276"/>
      <c r="G658" s="277">
        <v>5800</v>
      </c>
      <c r="H658" s="292"/>
      <c r="I658" s="142">
        <v>2900</v>
      </c>
      <c r="J658" s="117">
        <v>0</v>
      </c>
      <c r="K658" s="117">
        <v>0</v>
      </c>
      <c r="L658" s="117">
        <v>0</v>
      </c>
      <c r="M658" s="117">
        <v>0</v>
      </c>
      <c r="N658" s="117">
        <v>0</v>
      </c>
      <c r="O658" s="117">
        <f>2900</f>
        <v>2900</v>
      </c>
      <c r="P658" s="117">
        <v>0</v>
      </c>
      <c r="Q658" s="117">
        <v>0</v>
      </c>
      <c r="R658" s="117">
        <v>0</v>
      </c>
      <c r="S658" s="117">
        <v>0</v>
      </c>
      <c r="T658" s="117">
        <v>0</v>
      </c>
      <c r="U658" s="153">
        <f t="shared" si="183"/>
        <v>0</v>
      </c>
      <c r="V658" s="128">
        <f t="shared" si="177"/>
        <v>2900</v>
      </c>
      <c r="W658" s="128">
        <f t="shared" si="178"/>
        <v>0</v>
      </c>
      <c r="X658" s="128">
        <f t="shared" si="179"/>
        <v>0</v>
      </c>
      <c r="Y658" s="128">
        <f t="shared" si="180"/>
        <v>0</v>
      </c>
      <c r="Z658" s="195">
        <f t="shared" si="181"/>
        <v>0</v>
      </c>
      <c r="AA658" s="194">
        <f t="shared" si="182"/>
        <v>0</v>
      </c>
    </row>
    <row r="659" spans="1:27" s="40" customFormat="1">
      <c r="A659" s="166"/>
      <c r="B659" s="274" t="s">
        <v>131</v>
      </c>
      <c r="C659" s="275"/>
      <c r="D659" s="275"/>
      <c r="E659" s="275"/>
      <c r="F659" s="276"/>
      <c r="G659" s="277">
        <v>40000</v>
      </c>
      <c r="H659" s="292"/>
      <c r="I659" s="142">
        <v>0</v>
      </c>
      <c r="J659" s="117">
        <v>0</v>
      </c>
      <c r="K659" s="117">
        <v>0</v>
      </c>
      <c r="L659" s="117">
        <v>0</v>
      </c>
      <c r="M659" s="117">
        <v>0</v>
      </c>
      <c r="N659" s="117">
        <v>0</v>
      </c>
      <c r="O659" s="117">
        <f>8000</f>
        <v>8000</v>
      </c>
      <c r="P659" s="117">
        <v>0</v>
      </c>
      <c r="Q659" s="117">
        <v>0</v>
      </c>
      <c r="R659" s="117">
        <f>0+0+0+0</f>
        <v>0</v>
      </c>
      <c r="S659" s="117">
        <v>0</v>
      </c>
      <c r="T659" s="117">
        <v>0</v>
      </c>
      <c r="U659" s="153">
        <f t="shared" si="183"/>
        <v>0</v>
      </c>
      <c r="V659" s="128">
        <f t="shared" si="177"/>
        <v>8000</v>
      </c>
      <c r="W659" s="128">
        <f t="shared" si="178"/>
        <v>0</v>
      </c>
      <c r="X659" s="128">
        <f t="shared" si="179"/>
        <v>0</v>
      </c>
      <c r="Y659" s="128">
        <f t="shared" si="180"/>
        <v>0</v>
      </c>
      <c r="Z659" s="195">
        <f t="shared" si="181"/>
        <v>0</v>
      </c>
      <c r="AA659" s="194">
        <f t="shared" si="182"/>
        <v>0</v>
      </c>
    </row>
    <row r="660" spans="1:27" s="40" customFormat="1">
      <c r="A660" s="166"/>
      <c r="B660" s="274" t="s">
        <v>87</v>
      </c>
      <c r="C660" s="275"/>
      <c r="D660" s="275"/>
      <c r="E660" s="275"/>
      <c r="F660" s="276"/>
      <c r="G660" s="277">
        <v>9000</v>
      </c>
      <c r="H660" s="292"/>
      <c r="I660" s="142">
        <v>0</v>
      </c>
      <c r="J660" s="117">
        <v>0</v>
      </c>
      <c r="K660" s="117">
        <v>0</v>
      </c>
      <c r="L660" s="117">
        <v>0</v>
      </c>
      <c r="M660" s="117">
        <v>0</v>
      </c>
      <c r="N660" s="117">
        <v>0</v>
      </c>
      <c r="O660" s="117">
        <v>3000</v>
      </c>
      <c r="P660" s="117">
        <v>0</v>
      </c>
      <c r="Q660" s="117">
        <v>0</v>
      </c>
      <c r="R660" s="117">
        <v>0</v>
      </c>
      <c r="S660" s="117">
        <v>0</v>
      </c>
      <c r="T660" s="117">
        <v>0</v>
      </c>
      <c r="U660" s="153">
        <f t="shared" si="183"/>
        <v>0</v>
      </c>
      <c r="V660" s="128">
        <f t="shared" si="177"/>
        <v>3000</v>
      </c>
      <c r="W660" s="128">
        <f t="shared" si="178"/>
        <v>0</v>
      </c>
      <c r="X660" s="128">
        <f t="shared" si="179"/>
        <v>0</v>
      </c>
      <c r="Y660" s="128">
        <f t="shared" si="180"/>
        <v>0</v>
      </c>
      <c r="Z660" s="195">
        <f t="shared" si="181"/>
        <v>0</v>
      </c>
      <c r="AA660" s="194">
        <f t="shared" si="182"/>
        <v>0</v>
      </c>
    </row>
    <row r="661" spans="1:27" s="40" customFormat="1">
      <c r="A661" s="166"/>
      <c r="B661" s="274" t="s">
        <v>89</v>
      </c>
      <c r="C661" s="275"/>
      <c r="D661" s="275"/>
      <c r="E661" s="275"/>
      <c r="F661" s="276"/>
      <c r="G661" s="277">
        <v>8000</v>
      </c>
      <c r="H661" s="292"/>
      <c r="I661" s="142">
        <v>0</v>
      </c>
      <c r="J661" s="117">
        <v>0</v>
      </c>
      <c r="K661" s="117">
        <v>0</v>
      </c>
      <c r="L661" s="117">
        <v>0</v>
      </c>
      <c r="M661" s="117">
        <v>0</v>
      </c>
      <c r="N661" s="117">
        <v>0</v>
      </c>
      <c r="O661" s="117">
        <f>8000</f>
        <v>8000</v>
      </c>
      <c r="P661" s="117">
        <v>0</v>
      </c>
      <c r="Q661" s="117">
        <v>0</v>
      </c>
      <c r="R661" s="117">
        <f>0+0+0+0</f>
        <v>0</v>
      </c>
      <c r="S661" s="117">
        <v>0</v>
      </c>
      <c r="T661" s="117">
        <v>0</v>
      </c>
      <c r="U661" s="153">
        <f t="shared" si="183"/>
        <v>0</v>
      </c>
      <c r="V661" s="128">
        <f t="shared" si="177"/>
        <v>8000</v>
      </c>
      <c r="W661" s="128">
        <f t="shared" si="178"/>
        <v>0</v>
      </c>
      <c r="X661" s="128">
        <f t="shared" si="179"/>
        <v>0</v>
      </c>
      <c r="Y661" s="128">
        <f t="shared" si="180"/>
        <v>0</v>
      </c>
      <c r="Z661" s="195">
        <f t="shared" si="181"/>
        <v>0</v>
      </c>
      <c r="AA661" s="194">
        <f t="shared" si="182"/>
        <v>0</v>
      </c>
    </row>
    <row r="662" spans="1:27" s="40" customFormat="1">
      <c r="A662" s="166"/>
      <c r="B662" s="274" t="s">
        <v>90</v>
      </c>
      <c r="C662" s="275"/>
      <c r="D662" s="275"/>
      <c r="E662" s="275"/>
      <c r="F662" s="276"/>
      <c r="G662" s="277">
        <v>9000</v>
      </c>
      <c r="H662" s="292"/>
      <c r="I662" s="142">
        <v>0</v>
      </c>
      <c r="J662" s="117">
        <v>0</v>
      </c>
      <c r="K662" s="117">
        <v>0</v>
      </c>
      <c r="L662" s="117">
        <v>0</v>
      </c>
      <c r="M662" s="117">
        <v>0</v>
      </c>
      <c r="N662" s="117">
        <v>0</v>
      </c>
      <c r="O662" s="117">
        <f>3000</f>
        <v>3000</v>
      </c>
      <c r="P662" s="117">
        <v>0</v>
      </c>
      <c r="Q662" s="117">
        <v>0</v>
      </c>
      <c r="R662" s="117">
        <f>0+0+0+0</f>
        <v>0</v>
      </c>
      <c r="S662" s="117">
        <v>0</v>
      </c>
      <c r="T662" s="117">
        <v>0</v>
      </c>
      <c r="U662" s="153">
        <f t="shared" si="183"/>
        <v>0</v>
      </c>
      <c r="V662" s="128">
        <f t="shared" si="177"/>
        <v>3000</v>
      </c>
      <c r="W662" s="128">
        <f t="shared" si="178"/>
        <v>0</v>
      </c>
      <c r="X662" s="128">
        <f t="shared" si="179"/>
        <v>0</v>
      </c>
      <c r="Y662" s="128">
        <f t="shared" si="180"/>
        <v>0</v>
      </c>
      <c r="Z662" s="195">
        <f t="shared" si="181"/>
        <v>0</v>
      </c>
      <c r="AA662" s="194">
        <f t="shared" si="182"/>
        <v>0</v>
      </c>
    </row>
    <row r="663" spans="1:27" s="40" customFormat="1">
      <c r="A663" s="166"/>
      <c r="B663" s="274" t="s">
        <v>64</v>
      </c>
      <c r="C663" s="275"/>
      <c r="D663" s="275"/>
      <c r="E663" s="275"/>
      <c r="F663" s="276"/>
      <c r="G663" s="277">
        <v>3750</v>
      </c>
      <c r="H663" s="292"/>
      <c r="I663" s="142">
        <v>1250</v>
      </c>
      <c r="J663" s="117">
        <v>0</v>
      </c>
      <c r="K663" s="117">
        <v>0</v>
      </c>
      <c r="L663" s="117">
        <v>0</v>
      </c>
      <c r="M663" s="117">
        <v>0</v>
      </c>
      <c r="N663" s="117">
        <v>0</v>
      </c>
      <c r="O663" s="117">
        <f>1250</f>
        <v>1250</v>
      </c>
      <c r="P663" s="117">
        <v>0</v>
      </c>
      <c r="Q663" s="117">
        <v>0</v>
      </c>
      <c r="R663" s="117">
        <v>0</v>
      </c>
      <c r="S663" s="117">
        <v>0</v>
      </c>
      <c r="T663" s="117">
        <v>0</v>
      </c>
      <c r="U663" s="153">
        <f t="shared" si="183"/>
        <v>0</v>
      </c>
      <c r="V663" s="128">
        <f t="shared" si="177"/>
        <v>1250</v>
      </c>
      <c r="W663" s="128">
        <f t="shared" si="178"/>
        <v>0</v>
      </c>
      <c r="X663" s="128">
        <f t="shared" si="179"/>
        <v>0</v>
      </c>
      <c r="Y663" s="128">
        <f t="shared" si="180"/>
        <v>0</v>
      </c>
      <c r="Z663" s="195">
        <f t="shared" si="181"/>
        <v>0</v>
      </c>
      <c r="AA663" s="194">
        <f t="shared" si="182"/>
        <v>0</v>
      </c>
    </row>
    <row r="664" spans="1:27" s="40" customFormat="1">
      <c r="A664" s="166"/>
      <c r="B664" s="274" t="s">
        <v>91</v>
      </c>
      <c r="C664" s="275"/>
      <c r="D664" s="275"/>
      <c r="E664" s="275"/>
      <c r="F664" s="276"/>
      <c r="G664" s="277">
        <v>6000</v>
      </c>
      <c r="H664" s="292"/>
      <c r="I664" s="142">
        <v>0</v>
      </c>
      <c r="J664" s="117">
        <v>0</v>
      </c>
      <c r="K664" s="117">
        <v>0</v>
      </c>
      <c r="L664" s="117">
        <v>0</v>
      </c>
      <c r="M664" s="117">
        <v>0</v>
      </c>
      <c r="N664" s="117">
        <v>0</v>
      </c>
      <c r="O664" s="117">
        <f>6000</f>
        <v>6000</v>
      </c>
      <c r="P664" s="117">
        <v>0</v>
      </c>
      <c r="Q664" s="117">
        <v>0</v>
      </c>
      <c r="R664" s="117">
        <f>0+0+0+0</f>
        <v>0</v>
      </c>
      <c r="S664" s="117">
        <v>0</v>
      </c>
      <c r="T664" s="117">
        <v>0</v>
      </c>
      <c r="U664" s="153">
        <f t="shared" si="183"/>
        <v>0</v>
      </c>
      <c r="V664" s="128">
        <f t="shared" si="177"/>
        <v>6000</v>
      </c>
      <c r="W664" s="128">
        <f t="shared" si="178"/>
        <v>0</v>
      </c>
      <c r="X664" s="128">
        <f t="shared" si="179"/>
        <v>0</v>
      </c>
      <c r="Y664" s="128">
        <f t="shared" si="180"/>
        <v>0</v>
      </c>
      <c r="Z664" s="195">
        <f t="shared" si="181"/>
        <v>0</v>
      </c>
      <c r="AA664" s="194">
        <f t="shared" si="182"/>
        <v>0</v>
      </c>
    </row>
    <row r="665" spans="1:27" s="40" customFormat="1">
      <c r="A665" s="166"/>
      <c r="B665" s="274" t="s">
        <v>81</v>
      </c>
      <c r="C665" s="275"/>
      <c r="D665" s="275"/>
      <c r="E665" s="275"/>
      <c r="F665" s="276"/>
      <c r="G665" s="277">
        <v>195000</v>
      </c>
      <c r="H665" s="292"/>
      <c r="I665" s="142">
        <v>13000</v>
      </c>
      <c r="J665" s="117">
        <v>0</v>
      </c>
      <c r="K665" s="117">
        <v>0</v>
      </c>
      <c r="L665" s="117">
        <v>13780.18</v>
      </c>
      <c r="M665" s="117">
        <v>0</v>
      </c>
      <c r="N665" s="117">
        <v>0</v>
      </c>
      <c r="O665" s="117">
        <f>26000+26000+26000+13000+13000+13000</f>
        <v>117000</v>
      </c>
      <c r="P665" s="117">
        <v>0</v>
      </c>
      <c r="Q665" s="117">
        <v>0</v>
      </c>
      <c r="R665" s="117">
        <f>23416.71+27887.03+23419.61+15279.25+11463.61+13780.18</f>
        <v>115246.39000000001</v>
      </c>
      <c r="S665" s="117">
        <v>0</v>
      </c>
      <c r="T665" s="117">
        <v>0</v>
      </c>
      <c r="U665" s="153">
        <f t="shared" si="183"/>
        <v>0.59100712820512824</v>
      </c>
      <c r="V665" s="128">
        <f t="shared" si="177"/>
        <v>117000</v>
      </c>
      <c r="W665" s="128">
        <f t="shared" si="178"/>
        <v>0</v>
      </c>
      <c r="X665" s="128">
        <f t="shared" si="179"/>
        <v>115246.39000000001</v>
      </c>
      <c r="Y665" s="128">
        <f t="shared" si="180"/>
        <v>0</v>
      </c>
      <c r="Z665" s="195">
        <f t="shared" si="181"/>
        <v>0.59100712820512824</v>
      </c>
      <c r="AA665" s="194">
        <f t="shared" si="182"/>
        <v>0</v>
      </c>
    </row>
    <row r="666" spans="1:27" s="40" customFormat="1" ht="15" customHeight="1">
      <c r="A666" s="166"/>
      <c r="B666" s="274" t="s">
        <v>132</v>
      </c>
      <c r="C666" s="275"/>
      <c r="D666" s="275"/>
      <c r="E666" s="275"/>
      <c r="F666" s="276"/>
      <c r="G666" s="277">
        <v>1900</v>
      </c>
      <c r="H666" s="292"/>
      <c r="I666" s="142">
        <v>0</v>
      </c>
      <c r="J666" s="117">
        <v>0</v>
      </c>
      <c r="K666" s="117">
        <v>0</v>
      </c>
      <c r="L666" s="117">
        <v>0</v>
      </c>
      <c r="M666" s="117">
        <v>0</v>
      </c>
      <c r="N666" s="117">
        <v>0</v>
      </c>
      <c r="O666" s="117">
        <v>1900</v>
      </c>
      <c r="P666" s="117">
        <v>0</v>
      </c>
      <c r="Q666" s="117">
        <v>0</v>
      </c>
      <c r="R666" s="117">
        <f>0+1893.11</f>
        <v>1893.11</v>
      </c>
      <c r="S666" s="117">
        <v>0</v>
      </c>
      <c r="T666" s="117">
        <v>0</v>
      </c>
      <c r="U666" s="153">
        <f>R666/G666</f>
        <v>0.9963736842105263</v>
      </c>
      <c r="V666" s="128">
        <f t="shared" si="177"/>
        <v>1900</v>
      </c>
      <c r="W666" s="128">
        <f t="shared" si="178"/>
        <v>0</v>
      </c>
      <c r="X666" s="128">
        <f t="shared" si="179"/>
        <v>1893.11</v>
      </c>
      <c r="Y666" s="128">
        <f t="shared" si="180"/>
        <v>0</v>
      </c>
      <c r="Z666" s="195">
        <f t="shared" si="181"/>
        <v>0.9963736842105263</v>
      </c>
      <c r="AA666" s="194">
        <f t="shared" si="182"/>
        <v>0</v>
      </c>
    </row>
    <row r="667" spans="1:27" s="40" customFormat="1" ht="15" customHeight="1">
      <c r="A667" s="166"/>
      <c r="B667" s="274" t="s">
        <v>133</v>
      </c>
      <c r="C667" s="275"/>
      <c r="D667" s="275"/>
      <c r="E667" s="275"/>
      <c r="F667" s="276"/>
      <c r="G667" s="277">
        <v>20000</v>
      </c>
      <c r="H667" s="292"/>
      <c r="I667" s="142">
        <v>0</v>
      </c>
      <c r="J667" s="116">
        <v>0</v>
      </c>
      <c r="K667" s="116">
        <v>0</v>
      </c>
      <c r="L667" s="116">
        <v>0</v>
      </c>
      <c r="M667" s="116">
        <v>0</v>
      </c>
      <c r="N667" s="116">
        <v>0</v>
      </c>
      <c r="O667" s="116">
        <v>0</v>
      </c>
      <c r="P667" s="116">
        <v>0</v>
      </c>
      <c r="Q667" s="116">
        <v>0</v>
      </c>
      <c r="R667" s="116">
        <v>0</v>
      </c>
      <c r="S667" s="116">
        <v>0</v>
      </c>
      <c r="T667" s="116">
        <v>0</v>
      </c>
      <c r="U667" s="156">
        <f>R667/G667</f>
        <v>0</v>
      </c>
      <c r="V667" s="128">
        <f t="shared" si="177"/>
        <v>0</v>
      </c>
      <c r="W667" s="128">
        <f t="shared" si="178"/>
        <v>0</v>
      </c>
      <c r="X667" s="128">
        <f t="shared" si="179"/>
        <v>0</v>
      </c>
      <c r="Y667" s="128">
        <f t="shared" si="180"/>
        <v>0</v>
      </c>
      <c r="Z667" s="195">
        <f t="shared" si="181"/>
        <v>0</v>
      </c>
      <c r="AA667" s="194">
        <f t="shared" si="182"/>
        <v>0</v>
      </c>
    </row>
    <row r="668" spans="1:27" s="40" customFormat="1" ht="15" customHeight="1">
      <c r="A668" s="166"/>
      <c r="B668" s="274" t="s">
        <v>134</v>
      </c>
      <c r="C668" s="275"/>
      <c r="D668" s="275"/>
      <c r="E668" s="275"/>
      <c r="F668" s="276"/>
      <c r="G668" s="277">
        <v>7200</v>
      </c>
      <c r="H668" s="292"/>
      <c r="I668" s="142">
        <v>0</v>
      </c>
      <c r="J668" s="116">
        <v>0</v>
      </c>
      <c r="K668" s="116">
        <v>0</v>
      </c>
      <c r="L668" s="116">
        <v>7200</v>
      </c>
      <c r="M668" s="116">
        <v>0</v>
      </c>
      <c r="N668" s="116">
        <v>0</v>
      </c>
      <c r="O668" s="116">
        <f>7200</f>
        <v>7200</v>
      </c>
      <c r="P668" s="116">
        <v>0</v>
      </c>
      <c r="Q668" s="116">
        <v>0</v>
      </c>
      <c r="R668" s="116">
        <f>7200</f>
        <v>7200</v>
      </c>
      <c r="S668" s="116">
        <v>0</v>
      </c>
      <c r="T668" s="116">
        <v>0</v>
      </c>
      <c r="U668" s="156">
        <f>R668/G668</f>
        <v>1</v>
      </c>
      <c r="V668" s="128">
        <f t="shared" si="177"/>
        <v>7200</v>
      </c>
      <c r="W668" s="128">
        <f t="shared" si="178"/>
        <v>0</v>
      </c>
      <c r="X668" s="128">
        <f t="shared" si="179"/>
        <v>7200</v>
      </c>
      <c r="Y668" s="128">
        <f t="shared" si="180"/>
        <v>0</v>
      </c>
      <c r="Z668" s="195">
        <f t="shared" si="181"/>
        <v>1</v>
      </c>
      <c r="AA668" s="194">
        <f t="shared" si="182"/>
        <v>0</v>
      </c>
    </row>
    <row r="669" spans="1:27" s="40" customFormat="1" ht="15" customHeight="1">
      <c r="A669" s="166"/>
      <c r="B669" s="274" t="s">
        <v>79</v>
      </c>
      <c r="C669" s="275"/>
      <c r="D669" s="275"/>
      <c r="E669" s="275"/>
      <c r="F669" s="276"/>
      <c r="G669" s="277">
        <v>37500</v>
      </c>
      <c r="H669" s="292"/>
      <c r="I669" s="142">
        <v>0</v>
      </c>
      <c r="J669" s="116">
        <v>0</v>
      </c>
      <c r="K669" s="116">
        <v>0</v>
      </c>
      <c r="L669" s="116">
        <v>0</v>
      </c>
      <c r="M669" s="116">
        <v>0</v>
      </c>
      <c r="N669" s="116">
        <v>0</v>
      </c>
      <c r="O669" s="116">
        <v>37500</v>
      </c>
      <c r="P669" s="116">
        <v>0</v>
      </c>
      <c r="Q669" s="116">
        <v>0</v>
      </c>
      <c r="R669" s="116">
        <f>0+0+0+0</f>
        <v>0</v>
      </c>
      <c r="S669" s="116">
        <v>0</v>
      </c>
      <c r="T669" s="116">
        <v>0</v>
      </c>
      <c r="U669" s="156">
        <f t="shared" ref="U669:U670" si="184">R669/G669</f>
        <v>0</v>
      </c>
      <c r="V669" s="128">
        <f t="shared" si="177"/>
        <v>37500</v>
      </c>
      <c r="W669" s="128">
        <f t="shared" si="178"/>
        <v>0</v>
      </c>
      <c r="X669" s="128">
        <f t="shared" si="179"/>
        <v>0</v>
      </c>
      <c r="Y669" s="128">
        <f t="shared" si="180"/>
        <v>0</v>
      </c>
      <c r="Z669" s="195">
        <f t="shared" si="181"/>
        <v>0</v>
      </c>
      <c r="AA669" s="194">
        <f t="shared" si="182"/>
        <v>0</v>
      </c>
    </row>
    <row r="670" spans="1:27" s="40" customFormat="1" ht="15" customHeight="1">
      <c r="A670" s="166"/>
      <c r="B670" s="274" t="s">
        <v>92</v>
      </c>
      <c r="C670" s="275"/>
      <c r="D670" s="275"/>
      <c r="E670" s="275"/>
      <c r="F670" s="276"/>
      <c r="G670" s="277">
        <v>39600</v>
      </c>
      <c r="H670" s="292"/>
      <c r="I670" s="142">
        <v>0</v>
      </c>
      <c r="J670" s="116">
        <v>0</v>
      </c>
      <c r="K670" s="116">
        <v>0</v>
      </c>
      <c r="L670" s="116">
        <v>0</v>
      </c>
      <c r="M670" s="116">
        <v>0</v>
      </c>
      <c r="N670" s="116">
        <v>0</v>
      </c>
      <c r="O670" s="116">
        <v>39600</v>
      </c>
      <c r="P670" s="116">
        <v>0</v>
      </c>
      <c r="Q670" s="116">
        <v>0</v>
      </c>
      <c r="R670" s="116">
        <f>0+0+0+0</f>
        <v>0</v>
      </c>
      <c r="S670" s="116">
        <v>0</v>
      </c>
      <c r="T670" s="116">
        <v>0</v>
      </c>
      <c r="U670" s="156">
        <f t="shared" si="184"/>
        <v>0</v>
      </c>
      <c r="V670" s="128">
        <f t="shared" si="177"/>
        <v>39600</v>
      </c>
      <c r="W670" s="128">
        <f t="shared" si="178"/>
        <v>0</v>
      </c>
      <c r="X670" s="128">
        <f t="shared" si="179"/>
        <v>0</v>
      </c>
      <c r="Y670" s="128">
        <f t="shared" si="180"/>
        <v>0</v>
      </c>
      <c r="Z670" s="195">
        <f t="shared" si="181"/>
        <v>0</v>
      </c>
      <c r="AA670" s="194">
        <f t="shared" si="182"/>
        <v>0</v>
      </c>
    </row>
    <row r="671" spans="1:27">
      <c r="A671" s="159"/>
      <c r="B671" s="274" t="s">
        <v>65</v>
      </c>
      <c r="C671" s="275"/>
      <c r="D671" s="275"/>
      <c r="E671" s="275"/>
      <c r="F671" s="276"/>
      <c r="G671" s="463">
        <v>23750</v>
      </c>
      <c r="H671" s="476"/>
      <c r="I671" s="97">
        <v>3750</v>
      </c>
      <c r="J671" s="26">
        <v>0</v>
      </c>
      <c r="K671" s="26">
        <v>0</v>
      </c>
      <c r="L671" s="26">
        <v>0</v>
      </c>
      <c r="M671" s="26">
        <v>0</v>
      </c>
      <c r="N671" s="26">
        <v>0</v>
      </c>
      <c r="O671" s="26">
        <f>3750</f>
        <v>3750</v>
      </c>
      <c r="P671" s="26">
        <v>0</v>
      </c>
      <c r="Q671" s="26">
        <v>0</v>
      </c>
      <c r="R671" s="26">
        <v>0</v>
      </c>
      <c r="S671" s="26">
        <v>0</v>
      </c>
      <c r="T671" s="26">
        <v>0</v>
      </c>
      <c r="U671" s="65">
        <f>R671/G671</f>
        <v>0</v>
      </c>
      <c r="V671" s="128">
        <f t="shared" si="177"/>
        <v>3750</v>
      </c>
      <c r="W671" s="128">
        <f t="shared" si="178"/>
        <v>0</v>
      </c>
      <c r="X671" s="128">
        <f t="shared" si="179"/>
        <v>0</v>
      </c>
      <c r="Y671" s="128">
        <f t="shared" si="180"/>
        <v>0</v>
      </c>
      <c r="Z671" s="195">
        <f t="shared" si="181"/>
        <v>0</v>
      </c>
      <c r="AA671" s="194">
        <f t="shared" si="182"/>
        <v>0</v>
      </c>
    </row>
    <row r="672" spans="1:27" ht="15.75" thickBot="1">
      <c r="A672" s="23"/>
      <c r="B672" s="453"/>
      <c r="C672" s="454"/>
      <c r="D672" s="454"/>
      <c r="E672" s="454"/>
      <c r="F672" s="455"/>
      <c r="G672" s="456"/>
      <c r="H672" s="457"/>
      <c r="I672" s="97"/>
      <c r="J672" s="26"/>
      <c r="K672" s="26"/>
      <c r="L672" s="26"/>
      <c r="M672" s="26"/>
      <c r="N672" s="26"/>
      <c r="O672" s="26"/>
      <c r="P672" s="26"/>
      <c r="Q672" s="26"/>
      <c r="R672" s="26"/>
      <c r="S672" s="26"/>
      <c r="T672" s="26"/>
      <c r="U672" s="27"/>
    </row>
    <row r="673" spans="1:27" ht="15.75" thickBot="1">
      <c r="A673" s="23"/>
      <c r="B673" s="257" t="s">
        <v>21</v>
      </c>
      <c r="C673" s="258"/>
      <c r="D673" s="258"/>
      <c r="E673" s="258"/>
      <c r="F673" s="259"/>
      <c r="G673" s="260">
        <f>SUM(G651:H672)</f>
        <v>675408</v>
      </c>
      <c r="H673" s="261"/>
      <c r="I673" s="29">
        <f>SUM(I651:I672)</f>
        <v>39400</v>
      </c>
      <c r="J673" s="29"/>
      <c r="K673" s="29"/>
      <c r="L673" s="29">
        <f>SUM(L651:L672)</f>
        <v>25980.18</v>
      </c>
      <c r="M673" s="29"/>
      <c r="N673" s="29"/>
      <c r="O673" s="29">
        <f>SUM(O651:O672)</f>
        <v>390008</v>
      </c>
      <c r="P673" s="29"/>
      <c r="Q673" s="29"/>
      <c r="R673" s="29">
        <f>SUM(R651:R672)</f>
        <v>136839.5</v>
      </c>
      <c r="S673" s="29"/>
      <c r="T673" s="30"/>
      <c r="U673" s="78">
        <f>R673/G673</f>
        <v>0.20260272309478122</v>
      </c>
      <c r="V673" s="128">
        <f>+I673+O552</f>
        <v>390008</v>
      </c>
      <c r="W673" s="128">
        <f>+O673-V673</f>
        <v>0</v>
      </c>
      <c r="X673" s="128">
        <f>+L673+R552</f>
        <v>136839.5</v>
      </c>
      <c r="Y673" s="128">
        <f>+R673-X673</f>
        <v>0</v>
      </c>
      <c r="Z673" s="195">
        <f>+X673/G673</f>
        <v>0.20260272309478122</v>
      </c>
      <c r="AA673" s="194">
        <f>+U673-Z673</f>
        <v>0</v>
      </c>
    </row>
    <row r="674" spans="1:27" ht="15.75" thickBot="1">
      <c r="A674" s="23"/>
      <c r="B674" s="297"/>
      <c r="C674" s="297"/>
      <c r="D674" s="297"/>
      <c r="E674" s="297"/>
      <c r="F674" s="297"/>
      <c r="G674" s="298"/>
      <c r="H674" s="298"/>
      <c r="I674" s="97"/>
      <c r="J674" s="97"/>
      <c r="K674" s="97"/>
      <c r="L674" s="97"/>
      <c r="M674" s="97"/>
      <c r="N674" s="97"/>
      <c r="O674" s="97"/>
      <c r="P674" s="97"/>
      <c r="Q674" s="97"/>
      <c r="R674" s="97"/>
      <c r="S674" s="97"/>
      <c r="T674" s="97"/>
      <c r="U674" s="72"/>
    </row>
    <row r="675" spans="1:27" ht="15.75" thickBot="1">
      <c r="A675" s="23"/>
      <c r="B675" s="284" t="s">
        <v>30</v>
      </c>
      <c r="C675" s="285"/>
      <c r="D675" s="285"/>
      <c r="E675" s="285"/>
      <c r="F675" s="285"/>
      <c r="G675" s="285"/>
      <c r="H675" s="285"/>
      <c r="I675" s="285"/>
      <c r="J675" s="285"/>
      <c r="K675" s="285"/>
      <c r="L675" s="285"/>
      <c r="M675" s="285"/>
      <c r="N675" s="285"/>
      <c r="O675" s="285"/>
      <c r="P675" s="285"/>
      <c r="Q675" s="285"/>
      <c r="R675" s="285"/>
      <c r="S675" s="285"/>
      <c r="T675" s="285"/>
      <c r="U675" s="286"/>
    </row>
    <row r="676" spans="1:27" s="40" customFormat="1" ht="15" customHeight="1">
      <c r="A676" s="152"/>
      <c r="B676" s="287" t="s">
        <v>80</v>
      </c>
      <c r="C676" s="288"/>
      <c r="D676" s="288"/>
      <c r="E676" s="288"/>
      <c r="F676" s="289"/>
      <c r="G676" s="290">
        <v>11500</v>
      </c>
      <c r="H676" s="291"/>
      <c r="I676" s="161">
        <v>0</v>
      </c>
      <c r="J676" s="161">
        <v>0</v>
      </c>
      <c r="K676" s="161">
        <v>0</v>
      </c>
      <c r="L676" s="161">
        <v>0</v>
      </c>
      <c r="M676" s="161">
        <v>0</v>
      </c>
      <c r="N676" s="161">
        <v>0</v>
      </c>
      <c r="O676" s="161">
        <v>0</v>
      </c>
      <c r="P676" s="161">
        <v>0</v>
      </c>
      <c r="Q676" s="161">
        <v>0</v>
      </c>
      <c r="R676" s="161">
        <v>0</v>
      </c>
      <c r="S676" s="161">
        <v>0</v>
      </c>
      <c r="T676" s="141">
        <v>0</v>
      </c>
      <c r="U676" s="162">
        <f t="shared" ref="U676:U683" si="185">R676/G676</f>
        <v>0</v>
      </c>
      <c r="V676" s="128">
        <f t="shared" ref="V676:V683" si="186">+I676+O555</f>
        <v>0</v>
      </c>
      <c r="W676" s="128">
        <f t="shared" ref="W676:W683" si="187">+O676-V676</f>
        <v>0</v>
      </c>
      <c r="X676" s="128">
        <f t="shared" ref="X676:X683" si="188">+L676+R555</f>
        <v>0</v>
      </c>
      <c r="Y676" s="128">
        <f t="shared" ref="Y676:Y683" si="189">+R676-X676</f>
        <v>0</v>
      </c>
      <c r="Z676" s="195">
        <f t="shared" ref="Z676:Z683" si="190">+X676/G676</f>
        <v>0</v>
      </c>
      <c r="AA676" s="194">
        <f t="shared" ref="AA676:AA683" si="191">+U676-Z676</f>
        <v>0</v>
      </c>
    </row>
    <row r="677" spans="1:27" s="40" customFormat="1">
      <c r="A677" s="152"/>
      <c r="B677" s="274" t="s">
        <v>124</v>
      </c>
      <c r="C677" s="275"/>
      <c r="D677" s="275"/>
      <c r="E677" s="275"/>
      <c r="F677" s="276"/>
      <c r="G677" s="277">
        <v>30000</v>
      </c>
      <c r="H677" s="278"/>
      <c r="I677" s="116">
        <v>0</v>
      </c>
      <c r="J677" s="116">
        <v>0</v>
      </c>
      <c r="K677" s="116">
        <v>0</v>
      </c>
      <c r="L677" s="116">
        <v>0</v>
      </c>
      <c r="M677" s="116">
        <v>0</v>
      </c>
      <c r="N677" s="116">
        <v>0</v>
      </c>
      <c r="O677" s="116">
        <v>0</v>
      </c>
      <c r="P677" s="116">
        <v>0</v>
      </c>
      <c r="Q677" s="116">
        <v>0</v>
      </c>
      <c r="R677" s="116">
        <v>0</v>
      </c>
      <c r="S677" s="116">
        <v>0</v>
      </c>
      <c r="T677" s="117">
        <v>0</v>
      </c>
      <c r="U677" s="153">
        <f t="shared" si="185"/>
        <v>0</v>
      </c>
      <c r="V677" s="128">
        <f t="shared" si="186"/>
        <v>0</v>
      </c>
      <c r="W677" s="128">
        <f t="shared" si="187"/>
        <v>0</v>
      </c>
      <c r="X677" s="128">
        <f t="shared" si="188"/>
        <v>0</v>
      </c>
      <c r="Y677" s="128">
        <f t="shared" si="189"/>
        <v>0</v>
      </c>
      <c r="Z677" s="195">
        <f t="shared" si="190"/>
        <v>0</v>
      </c>
      <c r="AA677" s="194">
        <f t="shared" si="191"/>
        <v>0</v>
      </c>
    </row>
    <row r="678" spans="1:27" s="40" customFormat="1" ht="15" customHeight="1">
      <c r="A678" s="152"/>
      <c r="B678" s="274" t="s">
        <v>123</v>
      </c>
      <c r="C678" s="275"/>
      <c r="D678" s="275"/>
      <c r="E678" s="275"/>
      <c r="F678" s="276"/>
      <c r="G678" s="277">
        <v>12328</v>
      </c>
      <c r="H678" s="278"/>
      <c r="I678" s="116">
        <v>0</v>
      </c>
      <c r="J678" s="116">
        <v>0</v>
      </c>
      <c r="K678" s="116">
        <v>0</v>
      </c>
      <c r="L678" s="116">
        <v>0</v>
      </c>
      <c r="M678" s="116">
        <v>0</v>
      </c>
      <c r="N678" s="116">
        <v>0</v>
      </c>
      <c r="O678" s="116">
        <v>12328</v>
      </c>
      <c r="P678" s="116">
        <v>0</v>
      </c>
      <c r="Q678" s="116">
        <v>0</v>
      </c>
      <c r="R678" s="116">
        <v>12328</v>
      </c>
      <c r="S678" s="116">
        <v>0</v>
      </c>
      <c r="T678" s="117">
        <v>0</v>
      </c>
      <c r="U678" s="153">
        <f t="shared" si="185"/>
        <v>1</v>
      </c>
      <c r="V678" s="128">
        <f t="shared" si="186"/>
        <v>12328</v>
      </c>
      <c r="W678" s="128">
        <f t="shared" si="187"/>
        <v>0</v>
      </c>
      <c r="X678" s="128">
        <f t="shared" si="188"/>
        <v>12328</v>
      </c>
      <c r="Y678" s="128">
        <f t="shared" si="189"/>
        <v>0</v>
      </c>
      <c r="Z678" s="195">
        <f t="shared" si="190"/>
        <v>1</v>
      </c>
      <c r="AA678" s="194">
        <f t="shared" si="191"/>
        <v>0</v>
      </c>
    </row>
    <row r="679" spans="1:27" s="40" customFormat="1" ht="15" customHeight="1">
      <c r="A679" s="152"/>
      <c r="B679" s="274" t="s">
        <v>66</v>
      </c>
      <c r="C679" s="275"/>
      <c r="D679" s="275"/>
      <c r="E679" s="275"/>
      <c r="F679" s="276"/>
      <c r="G679" s="277">
        <v>16000</v>
      </c>
      <c r="H679" s="278"/>
      <c r="I679" s="116">
        <v>16000</v>
      </c>
      <c r="J679" s="116">
        <v>0</v>
      </c>
      <c r="K679" s="116">
        <v>0</v>
      </c>
      <c r="L679" s="116">
        <v>9289.33</v>
      </c>
      <c r="M679" s="116">
        <v>0</v>
      </c>
      <c r="N679" s="116">
        <v>0</v>
      </c>
      <c r="O679" s="116">
        <v>16000</v>
      </c>
      <c r="P679" s="116">
        <v>0</v>
      </c>
      <c r="Q679" s="116">
        <v>0</v>
      </c>
      <c r="R679" s="116">
        <f>0+0+0+0+6710.67+9289.33</f>
        <v>16000</v>
      </c>
      <c r="S679" s="116">
        <v>0</v>
      </c>
      <c r="T679" s="117">
        <v>0</v>
      </c>
      <c r="U679" s="153">
        <f t="shared" si="185"/>
        <v>1</v>
      </c>
      <c r="V679" s="128">
        <f t="shared" si="186"/>
        <v>16000</v>
      </c>
      <c r="W679" s="128">
        <f t="shared" si="187"/>
        <v>0</v>
      </c>
      <c r="X679" s="128">
        <f t="shared" si="188"/>
        <v>16000</v>
      </c>
      <c r="Y679" s="128">
        <f t="shared" si="189"/>
        <v>0</v>
      </c>
      <c r="Z679" s="195">
        <f t="shared" si="190"/>
        <v>1</v>
      </c>
      <c r="AA679" s="194">
        <f t="shared" si="191"/>
        <v>0</v>
      </c>
    </row>
    <row r="680" spans="1:27" s="40" customFormat="1" ht="15" customHeight="1">
      <c r="A680" s="152"/>
      <c r="B680" s="274" t="s">
        <v>67</v>
      </c>
      <c r="C680" s="275"/>
      <c r="D680" s="275"/>
      <c r="E680" s="275"/>
      <c r="F680" s="276"/>
      <c r="G680" s="277">
        <v>15000</v>
      </c>
      <c r="H680" s="278"/>
      <c r="I680" s="116">
        <v>0</v>
      </c>
      <c r="J680" s="116">
        <v>0</v>
      </c>
      <c r="K680" s="116">
        <v>0</v>
      </c>
      <c r="L680" s="116">
        <v>0</v>
      </c>
      <c r="M680" s="116">
        <v>0</v>
      </c>
      <c r="N680" s="116">
        <v>0</v>
      </c>
      <c r="O680" s="116">
        <v>0</v>
      </c>
      <c r="P680" s="116">
        <v>0</v>
      </c>
      <c r="Q680" s="116">
        <v>0</v>
      </c>
      <c r="R680" s="116">
        <v>0</v>
      </c>
      <c r="S680" s="116">
        <v>0</v>
      </c>
      <c r="T680" s="117">
        <v>0</v>
      </c>
      <c r="U680" s="153">
        <f t="shared" si="185"/>
        <v>0</v>
      </c>
      <c r="V680" s="128">
        <f t="shared" si="186"/>
        <v>0</v>
      </c>
      <c r="W680" s="128">
        <f t="shared" si="187"/>
        <v>0</v>
      </c>
      <c r="X680" s="128">
        <f t="shared" si="188"/>
        <v>0</v>
      </c>
      <c r="Y680" s="128">
        <f t="shared" si="189"/>
        <v>0</v>
      </c>
      <c r="Z680" s="195">
        <f t="shared" si="190"/>
        <v>0</v>
      </c>
      <c r="AA680" s="194">
        <f t="shared" si="191"/>
        <v>0</v>
      </c>
    </row>
    <row r="681" spans="1:27" s="40" customFormat="1" ht="15" customHeight="1">
      <c r="A681" s="152"/>
      <c r="B681" s="274" t="s">
        <v>93</v>
      </c>
      <c r="C681" s="275"/>
      <c r="D681" s="275"/>
      <c r="E681" s="275"/>
      <c r="F681" s="276"/>
      <c r="G681" s="277">
        <v>12000</v>
      </c>
      <c r="H681" s="278"/>
      <c r="I681" s="116">
        <v>0</v>
      </c>
      <c r="J681" s="116">
        <v>0</v>
      </c>
      <c r="K681" s="116">
        <v>0</v>
      </c>
      <c r="L681" s="116">
        <v>0</v>
      </c>
      <c r="M681" s="116">
        <v>0</v>
      </c>
      <c r="N681" s="116">
        <v>0</v>
      </c>
      <c r="O681" s="116">
        <v>6000</v>
      </c>
      <c r="P681" s="116">
        <v>0</v>
      </c>
      <c r="Q681" s="116">
        <v>0</v>
      </c>
      <c r="R681" s="116">
        <v>0</v>
      </c>
      <c r="S681" s="116">
        <v>0</v>
      </c>
      <c r="T681" s="117">
        <v>0</v>
      </c>
      <c r="U681" s="153">
        <f t="shared" si="185"/>
        <v>0</v>
      </c>
      <c r="V681" s="128">
        <f t="shared" si="186"/>
        <v>6000</v>
      </c>
      <c r="W681" s="128">
        <f t="shared" si="187"/>
        <v>0</v>
      </c>
      <c r="X681" s="128">
        <f t="shared" si="188"/>
        <v>0</v>
      </c>
      <c r="Y681" s="128">
        <f t="shared" si="189"/>
        <v>0</v>
      </c>
      <c r="Z681" s="195">
        <f t="shared" si="190"/>
        <v>0</v>
      </c>
      <c r="AA681" s="194">
        <f t="shared" si="191"/>
        <v>0</v>
      </c>
    </row>
    <row r="682" spans="1:27" s="40" customFormat="1" ht="15" customHeight="1">
      <c r="A682" s="152"/>
      <c r="B682" s="274" t="s">
        <v>69</v>
      </c>
      <c r="C682" s="275"/>
      <c r="D682" s="275"/>
      <c r="E682" s="275"/>
      <c r="F682" s="276"/>
      <c r="G682" s="277">
        <v>4400</v>
      </c>
      <c r="H682" s="278"/>
      <c r="I682" s="116">
        <v>4400</v>
      </c>
      <c r="J682" s="116">
        <v>0</v>
      </c>
      <c r="K682" s="116">
        <v>0</v>
      </c>
      <c r="L682" s="116">
        <v>0</v>
      </c>
      <c r="M682" s="116">
        <v>0</v>
      </c>
      <c r="N682" s="116">
        <v>0</v>
      </c>
      <c r="O682" s="116">
        <v>4400</v>
      </c>
      <c r="P682" s="116">
        <v>0</v>
      </c>
      <c r="Q682" s="116">
        <v>0</v>
      </c>
      <c r="R682" s="116">
        <v>0</v>
      </c>
      <c r="S682" s="116">
        <v>0</v>
      </c>
      <c r="T682" s="117">
        <v>0</v>
      </c>
      <c r="U682" s="153">
        <f t="shared" si="185"/>
        <v>0</v>
      </c>
      <c r="V682" s="128">
        <f t="shared" si="186"/>
        <v>4400</v>
      </c>
      <c r="W682" s="128">
        <f t="shared" si="187"/>
        <v>0</v>
      </c>
      <c r="X682" s="128">
        <f t="shared" si="188"/>
        <v>0</v>
      </c>
      <c r="Y682" s="128">
        <f t="shared" si="189"/>
        <v>0</v>
      </c>
      <c r="Z682" s="195">
        <f t="shared" si="190"/>
        <v>0</v>
      </c>
      <c r="AA682" s="194">
        <f t="shared" si="191"/>
        <v>0</v>
      </c>
    </row>
    <row r="683" spans="1:27" s="40" customFormat="1" ht="15" customHeight="1">
      <c r="A683" s="152"/>
      <c r="B683" s="274" t="s">
        <v>94</v>
      </c>
      <c r="C683" s="275"/>
      <c r="D683" s="275"/>
      <c r="E683" s="275"/>
      <c r="F683" s="276"/>
      <c r="G683" s="277">
        <v>3200</v>
      </c>
      <c r="H683" s="278"/>
      <c r="I683" s="116">
        <v>0</v>
      </c>
      <c r="J683" s="116">
        <v>0</v>
      </c>
      <c r="K683" s="116">
        <v>0</v>
      </c>
      <c r="L683" s="116">
        <v>0</v>
      </c>
      <c r="M683" s="116">
        <v>0</v>
      </c>
      <c r="N683" s="116">
        <v>0</v>
      </c>
      <c r="O683" s="116">
        <v>800</v>
      </c>
      <c r="P683" s="116">
        <v>0</v>
      </c>
      <c r="Q683" s="116">
        <v>0</v>
      </c>
      <c r="R683" s="116">
        <v>0</v>
      </c>
      <c r="S683" s="116">
        <v>0</v>
      </c>
      <c r="T683" s="117">
        <v>0</v>
      </c>
      <c r="U683" s="153">
        <f t="shared" si="185"/>
        <v>0</v>
      </c>
      <c r="V683" s="128">
        <f t="shared" si="186"/>
        <v>800</v>
      </c>
      <c r="W683" s="128">
        <f t="shared" si="187"/>
        <v>0</v>
      </c>
      <c r="X683" s="128">
        <f t="shared" si="188"/>
        <v>0</v>
      </c>
      <c r="Y683" s="128">
        <f t="shared" si="189"/>
        <v>0</v>
      </c>
      <c r="Z683" s="195">
        <f t="shared" si="190"/>
        <v>0</v>
      </c>
      <c r="AA683" s="194">
        <f t="shared" si="191"/>
        <v>0</v>
      </c>
    </row>
    <row r="684" spans="1:27" ht="15.75" thickBot="1">
      <c r="A684" s="23"/>
      <c r="B684" s="469"/>
      <c r="C684" s="297"/>
      <c r="D684" s="297"/>
      <c r="E684" s="297"/>
      <c r="F684" s="470"/>
      <c r="G684" s="456"/>
      <c r="H684" s="468"/>
      <c r="I684" s="55"/>
      <c r="J684" s="55"/>
      <c r="K684" s="55"/>
      <c r="L684" s="55"/>
      <c r="M684" s="55"/>
      <c r="N684" s="55"/>
      <c r="O684" s="55"/>
      <c r="P684" s="55"/>
      <c r="Q684" s="55"/>
      <c r="R684" s="55"/>
      <c r="S684" s="55"/>
      <c r="T684" s="76"/>
      <c r="U684" s="77"/>
    </row>
    <row r="685" spans="1:27" ht="15.75" thickBot="1">
      <c r="A685" s="23"/>
      <c r="B685" s="257" t="s">
        <v>21</v>
      </c>
      <c r="C685" s="258"/>
      <c r="D685" s="258"/>
      <c r="E685" s="258"/>
      <c r="F685" s="259"/>
      <c r="G685" s="260">
        <f>SUM(G676:H684)</f>
        <v>104428</v>
      </c>
      <c r="H685" s="261"/>
      <c r="I685" s="29">
        <f>SUM(I676:I684)</f>
        <v>20400</v>
      </c>
      <c r="J685" s="29"/>
      <c r="K685" s="29"/>
      <c r="L685" s="29">
        <f>SUM(L676:L684)</f>
        <v>9289.33</v>
      </c>
      <c r="M685" s="29"/>
      <c r="N685" s="29"/>
      <c r="O685" s="29">
        <f>SUM(O676:O684)</f>
        <v>39528</v>
      </c>
      <c r="P685" s="29"/>
      <c r="Q685" s="29"/>
      <c r="R685" s="29">
        <f>SUM(R676:R684)</f>
        <v>28328</v>
      </c>
      <c r="S685" s="30"/>
      <c r="T685" s="73"/>
      <c r="U685" s="71">
        <f t="shared" ref="U685" si="192">R685/G685</f>
        <v>0.27126824223388363</v>
      </c>
      <c r="V685" s="128">
        <f>+I685+O564</f>
        <v>39528</v>
      </c>
      <c r="W685" s="128">
        <f>+O685-V685</f>
        <v>0</v>
      </c>
      <c r="X685" s="128">
        <f>+L685+R564</f>
        <v>28328</v>
      </c>
      <c r="Y685" s="128">
        <f>+R685-X685</f>
        <v>0</v>
      </c>
      <c r="Z685" s="195">
        <f>+X685/G685</f>
        <v>0.27126824223388363</v>
      </c>
      <c r="AA685" s="194">
        <f>+U685-Z685</f>
        <v>0</v>
      </c>
    </row>
    <row r="686" spans="1:27" ht="15.75" thickBot="1">
      <c r="C686" s="32"/>
      <c r="I686" s="104">
        <f>SUM(I673,I685)</f>
        <v>59800</v>
      </c>
      <c r="L686" s="104">
        <f>SUM(L673,L685)</f>
        <v>35269.51</v>
      </c>
      <c r="N686" s="33"/>
      <c r="O686" s="104">
        <f>SUM(O673,O685)</f>
        <v>429536</v>
      </c>
      <c r="R686" s="104">
        <f>SUM(R673,R685)</f>
        <v>165167.5</v>
      </c>
      <c r="U686" s="33"/>
    </row>
    <row r="687" spans="1:27" ht="15.75" thickBot="1">
      <c r="B687" s="262" t="s">
        <v>31</v>
      </c>
      <c r="C687" s="263"/>
      <c r="D687" s="263"/>
      <c r="E687" s="263"/>
      <c r="F687" s="263"/>
      <c r="G687" s="263"/>
      <c r="H687" s="263"/>
      <c r="I687" s="263"/>
      <c r="J687" s="263"/>
      <c r="K687" s="263"/>
      <c r="L687" s="263"/>
      <c r="M687" s="263"/>
      <c r="N687" s="263"/>
      <c r="O687" s="263"/>
      <c r="P687" s="263"/>
      <c r="Q687" s="263"/>
      <c r="R687" s="263"/>
      <c r="S687" s="263"/>
      <c r="T687" s="263"/>
      <c r="U687" s="263"/>
      <c r="V687" s="34"/>
    </row>
    <row r="688" spans="1:27" ht="15" customHeight="1" thickBot="1">
      <c r="B688" s="264"/>
      <c r="C688" s="265"/>
      <c r="D688" s="267" t="s">
        <v>15</v>
      </c>
      <c r="E688" s="268"/>
      <c r="F688" s="268"/>
      <c r="G688" s="268"/>
      <c r="H688" s="268"/>
      <c r="I688" s="269"/>
      <c r="J688" s="267" t="s">
        <v>32</v>
      </c>
      <c r="K688" s="268"/>
      <c r="L688" s="268"/>
      <c r="M688" s="268"/>
      <c r="N688" s="268"/>
      <c r="O688" s="269"/>
      <c r="P688" s="267" t="s">
        <v>17</v>
      </c>
      <c r="Q688" s="268"/>
      <c r="R688" s="268"/>
      <c r="S688" s="268"/>
      <c r="T688" s="268"/>
      <c r="U688" s="35"/>
    </row>
    <row r="689" spans="1:21" ht="15.75" customHeight="1" thickBot="1">
      <c r="B689" s="219"/>
      <c r="C689" s="266"/>
      <c r="D689" s="270" t="s">
        <v>26</v>
      </c>
      <c r="E689" s="271"/>
      <c r="F689" s="272" t="s">
        <v>27</v>
      </c>
      <c r="G689" s="273"/>
      <c r="H689" s="268" t="s">
        <v>28</v>
      </c>
      <c r="I689" s="269"/>
      <c r="J689" s="272" t="s">
        <v>26</v>
      </c>
      <c r="K689" s="273"/>
      <c r="L689" s="272" t="s">
        <v>27</v>
      </c>
      <c r="M689" s="273"/>
      <c r="N689" s="268" t="s">
        <v>28</v>
      </c>
      <c r="O689" s="269"/>
      <c r="P689" s="272" t="s">
        <v>26</v>
      </c>
      <c r="Q689" s="273"/>
      <c r="R689" s="272" t="s">
        <v>27</v>
      </c>
      <c r="S689" s="273"/>
      <c r="T689" s="268" t="s">
        <v>28</v>
      </c>
      <c r="U689" s="269"/>
    </row>
    <row r="690" spans="1:21" ht="30" customHeight="1">
      <c r="A690" s="23"/>
      <c r="B690" s="250" t="s">
        <v>33</v>
      </c>
      <c r="C690" s="251"/>
      <c r="D690" s="252">
        <v>675408</v>
      </c>
      <c r="E690" s="253"/>
      <c r="F690" s="252">
        <v>0</v>
      </c>
      <c r="G690" s="253"/>
      <c r="H690" s="252">
        <v>0</v>
      </c>
      <c r="I690" s="253"/>
      <c r="J690" s="254">
        <v>25980.18</v>
      </c>
      <c r="K690" s="255"/>
      <c r="L690" s="240">
        <v>0</v>
      </c>
      <c r="M690" s="253"/>
      <c r="N690" s="240">
        <v>0</v>
      </c>
      <c r="O690" s="256"/>
      <c r="P690" s="254">
        <f>23416.71+27887.03+23419.61+20279.25+15856.72+25980.18</f>
        <v>136839.5</v>
      </c>
      <c r="Q690" s="255"/>
      <c r="R690" s="240">
        <v>0</v>
      </c>
      <c r="S690" s="253"/>
      <c r="T690" s="240">
        <v>0</v>
      </c>
      <c r="U690" s="241"/>
    </row>
    <row r="691" spans="1:21" ht="30" customHeight="1" thickBot="1">
      <c r="A691" s="4"/>
      <c r="B691" s="242" t="s">
        <v>34</v>
      </c>
      <c r="C691" s="243"/>
      <c r="D691" s="244">
        <v>104428</v>
      </c>
      <c r="E691" s="245"/>
      <c r="F691" s="244">
        <v>0</v>
      </c>
      <c r="G691" s="245"/>
      <c r="H691" s="244">
        <v>0</v>
      </c>
      <c r="I691" s="245"/>
      <c r="J691" s="244">
        <v>9289.33</v>
      </c>
      <c r="K691" s="245"/>
      <c r="L691" s="246">
        <v>0</v>
      </c>
      <c r="M691" s="245"/>
      <c r="N691" s="246">
        <v>0</v>
      </c>
      <c r="O691" s="247"/>
      <c r="P691" s="248">
        <f>0+0+0+12328+6710.67+9289.33</f>
        <v>28328</v>
      </c>
      <c r="Q691" s="249"/>
      <c r="R691" s="246">
        <v>0</v>
      </c>
      <c r="S691" s="245"/>
      <c r="T691" s="246">
        <v>0</v>
      </c>
      <c r="U691" s="247"/>
    </row>
    <row r="692" spans="1:21" ht="15.75" thickBot="1">
      <c r="A692" s="23"/>
      <c r="B692" s="233" t="s">
        <v>21</v>
      </c>
      <c r="C692" s="234"/>
      <c r="D692" s="235">
        <f>SUM(D690:E691)</f>
        <v>779836</v>
      </c>
      <c r="E692" s="236"/>
      <c r="F692" s="235">
        <f>SUM(F690:G691)</f>
        <v>0</v>
      </c>
      <c r="G692" s="236"/>
      <c r="H692" s="235">
        <f>SUM(H690:I691)</f>
        <v>0</v>
      </c>
      <c r="I692" s="236"/>
      <c r="J692" s="237">
        <f>SUM(J690:K691)</f>
        <v>35269.51</v>
      </c>
      <c r="K692" s="238"/>
      <c r="L692" s="215">
        <f>SUM(L690:M691)</f>
        <v>0</v>
      </c>
      <c r="M692" s="238"/>
      <c r="N692" s="236">
        <f>SUM(N690:O691)</f>
        <v>0</v>
      </c>
      <c r="O692" s="236"/>
      <c r="P692" s="237">
        <f>SUM(P690:Q691)</f>
        <v>165167.5</v>
      </c>
      <c r="Q692" s="239"/>
      <c r="R692" s="215">
        <f>SUM(R690:S691)</f>
        <v>0</v>
      </c>
      <c r="S692" s="238"/>
      <c r="T692" s="215">
        <f>SUM(T690:U691)</f>
        <v>0</v>
      </c>
      <c r="U692" s="216"/>
    </row>
    <row r="693" spans="1:21">
      <c r="A693" s="23"/>
      <c r="B693" s="99"/>
      <c r="C693" s="99"/>
      <c r="D693" s="99"/>
      <c r="E693" s="99"/>
      <c r="F693" s="103"/>
      <c r="G693" s="103"/>
      <c r="H693" s="96"/>
      <c r="I693" s="96"/>
      <c r="J693" s="103"/>
      <c r="K693" s="103"/>
      <c r="L693" s="115"/>
      <c r="M693" s="96"/>
      <c r="N693" s="103"/>
      <c r="O693" s="96"/>
      <c r="P693" s="96"/>
      <c r="Q693" s="103"/>
      <c r="R693" s="23"/>
      <c r="S693" s="23"/>
      <c r="T693" s="23"/>
      <c r="U693" s="23"/>
    </row>
    <row r="694" spans="1:21" ht="15.75" thickBot="1">
      <c r="A694" s="23"/>
      <c r="B694" s="99"/>
      <c r="C694" s="99"/>
      <c r="D694" s="99"/>
      <c r="E694" s="99"/>
      <c r="F694" s="103"/>
      <c r="G694" s="103"/>
      <c r="H694" s="103"/>
      <c r="I694" s="103"/>
      <c r="J694" s="103"/>
      <c r="K694" s="103"/>
      <c r="L694" s="103"/>
      <c r="M694" s="103"/>
      <c r="N694" s="103"/>
      <c r="O694" s="103"/>
      <c r="P694" s="103"/>
      <c r="Q694" s="103"/>
      <c r="R694" s="23"/>
      <c r="S694" s="23"/>
      <c r="T694" s="23"/>
      <c r="U694" s="23"/>
    </row>
    <row r="695" spans="1:21" ht="15.75" thickBot="1">
      <c r="B695" s="217" t="s">
        <v>35</v>
      </c>
      <c r="C695" s="218"/>
      <c r="D695" s="218"/>
      <c r="E695" s="219"/>
      <c r="F695" s="205"/>
      <c r="G695" s="205"/>
      <c r="H695" s="205"/>
      <c r="I695" s="205"/>
      <c r="J695" s="205"/>
      <c r="K695" s="205"/>
      <c r="L695" s="205"/>
      <c r="M695" s="205"/>
      <c r="N695" s="205"/>
      <c r="O695" s="205"/>
      <c r="P695" s="205"/>
      <c r="Q695" s="205"/>
      <c r="R695" s="205"/>
      <c r="S695" s="205"/>
      <c r="T695" s="205"/>
      <c r="U695" s="205"/>
    </row>
    <row r="696" spans="1:21">
      <c r="B696" s="444"/>
      <c r="C696" s="445"/>
      <c r="D696" s="445"/>
      <c r="E696" s="445"/>
      <c r="F696" s="445"/>
      <c r="G696" s="445"/>
      <c r="H696" s="445"/>
      <c r="I696" s="445"/>
      <c r="J696" s="445"/>
      <c r="K696" s="445"/>
      <c r="L696" s="445"/>
      <c r="M696" s="445"/>
      <c r="N696" s="445"/>
      <c r="O696" s="445"/>
      <c r="P696" s="445"/>
      <c r="Q696" s="445"/>
      <c r="R696" s="445"/>
      <c r="S696" s="445"/>
      <c r="T696" s="445"/>
      <c r="U696" s="446"/>
    </row>
    <row r="697" spans="1:21">
      <c r="B697" s="447"/>
      <c r="C697" s="448"/>
      <c r="D697" s="448"/>
      <c r="E697" s="448"/>
      <c r="F697" s="448"/>
      <c r="G697" s="448"/>
      <c r="H697" s="448"/>
      <c r="I697" s="448"/>
      <c r="J697" s="448"/>
      <c r="K697" s="448"/>
      <c r="L697" s="448"/>
      <c r="M697" s="448"/>
      <c r="N697" s="448"/>
      <c r="O697" s="448"/>
      <c r="P697" s="448"/>
      <c r="Q697" s="448"/>
      <c r="R697" s="448"/>
      <c r="S697" s="448"/>
      <c r="T697" s="448"/>
      <c r="U697" s="449"/>
    </row>
    <row r="698" spans="1:21">
      <c r="B698" s="447"/>
      <c r="C698" s="448"/>
      <c r="D698" s="448"/>
      <c r="E698" s="448"/>
      <c r="F698" s="448"/>
      <c r="G698" s="448"/>
      <c r="H698" s="448"/>
      <c r="I698" s="448"/>
      <c r="J698" s="448"/>
      <c r="K698" s="448"/>
      <c r="L698" s="448"/>
      <c r="M698" s="448"/>
      <c r="N698" s="448"/>
      <c r="O698" s="448"/>
      <c r="P698" s="448"/>
      <c r="Q698" s="448"/>
      <c r="R698" s="448"/>
      <c r="S698" s="448"/>
      <c r="T698" s="448"/>
      <c r="U698" s="449"/>
    </row>
    <row r="699" spans="1:21">
      <c r="B699" s="447"/>
      <c r="C699" s="448"/>
      <c r="D699" s="448"/>
      <c r="E699" s="448"/>
      <c r="F699" s="448"/>
      <c r="G699" s="448"/>
      <c r="H699" s="448"/>
      <c r="I699" s="448"/>
      <c r="J699" s="448"/>
      <c r="K699" s="448"/>
      <c r="L699" s="448"/>
      <c r="M699" s="448"/>
      <c r="N699" s="448"/>
      <c r="O699" s="448"/>
      <c r="P699" s="448"/>
      <c r="Q699" s="448"/>
      <c r="R699" s="448"/>
      <c r="S699" s="448"/>
      <c r="T699" s="448"/>
      <c r="U699" s="449"/>
    </row>
    <row r="700" spans="1:21">
      <c r="B700" s="447"/>
      <c r="C700" s="448"/>
      <c r="D700" s="448"/>
      <c r="E700" s="448"/>
      <c r="F700" s="448"/>
      <c r="G700" s="448"/>
      <c r="H700" s="448"/>
      <c r="I700" s="448"/>
      <c r="J700" s="448"/>
      <c r="K700" s="448"/>
      <c r="L700" s="448"/>
      <c r="M700" s="448"/>
      <c r="N700" s="448"/>
      <c r="O700" s="448"/>
      <c r="P700" s="448"/>
      <c r="Q700" s="448"/>
      <c r="R700" s="448"/>
      <c r="S700" s="448"/>
      <c r="T700" s="448"/>
      <c r="U700" s="449"/>
    </row>
    <row r="701" spans="1:21">
      <c r="B701" s="447"/>
      <c r="C701" s="448"/>
      <c r="D701" s="448"/>
      <c r="E701" s="448"/>
      <c r="F701" s="448"/>
      <c r="G701" s="448"/>
      <c r="H701" s="448"/>
      <c r="I701" s="448"/>
      <c r="J701" s="448"/>
      <c r="K701" s="448"/>
      <c r="L701" s="448"/>
      <c r="M701" s="448"/>
      <c r="N701" s="448"/>
      <c r="O701" s="448"/>
      <c r="P701" s="448"/>
      <c r="Q701" s="448"/>
      <c r="R701" s="448"/>
      <c r="S701" s="448"/>
      <c r="T701" s="448"/>
      <c r="U701" s="449"/>
    </row>
    <row r="702" spans="1:21" ht="15.75" thickBot="1">
      <c r="B702" s="450"/>
      <c r="C702" s="451"/>
      <c r="D702" s="451"/>
      <c r="E702" s="451"/>
      <c r="F702" s="451"/>
      <c r="G702" s="451"/>
      <c r="H702" s="451"/>
      <c r="I702" s="451"/>
      <c r="J702" s="451"/>
      <c r="K702" s="451"/>
      <c r="L702" s="451"/>
      <c r="M702" s="451"/>
      <c r="N702" s="451"/>
      <c r="O702" s="451"/>
      <c r="P702" s="451"/>
      <c r="Q702" s="451"/>
      <c r="R702" s="451"/>
      <c r="S702" s="451"/>
      <c r="T702" s="451"/>
      <c r="U702" s="452"/>
    </row>
    <row r="703" spans="1:21">
      <c r="B703" s="23"/>
    </row>
    <row r="704" spans="1:21">
      <c r="H704" s="40"/>
      <c r="I704" s="40"/>
      <c r="O704" s="40"/>
      <c r="Q704" s="40"/>
    </row>
    <row r="705" spans="2:21">
      <c r="B705" s="220" t="s">
        <v>38</v>
      </c>
      <c r="C705" s="220"/>
      <c r="D705" s="220"/>
      <c r="E705" s="220"/>
      <c r="F705" s="220"/>
      <c r="G705" s="220"/>
      <c r="I705" s="41"/>
      <c r="J705" s="213" t="s">
        <v>36</v>
      </c>
      <c r="K705" s="213"/>
      <c r="L705" s="213"/>
      <c r="M705" s="213"/>
      <c r="N705" s="213"/>
      <c r="O705" s="213"/>
      <c r="R705" s="213" t="s">
        <v>37</v>
      </c>
      <c r="S705" s="213"/>
      <c r="T705" s="213"/>
      <c r="U705" s="213"/>
    </row>
    <row r="706" spans="2:21">
      <c r="B706" s="220"/>
      <c r="C706" s="220"/>
      <c r="D706" s="220"/>
      <c r="E706" s="220"/>
      <c r="F706" s="220"/>
      <c r="G706" s="220"/>
      <c r="H706" s="42"/>
      <c r="I706" s="42"/>
      <c r="J706" s="221"/>
      <c r="K706" s="221"/>
      <c r="L706" s="221"/>
      <c r="M706" s="221"/>
      <c r="N706" s="221"/>
      <c r="O706" s="221"/>
      <c r="P706" s="42"/>
      <c r="Q706" s="42"/>
      <c r="R706" s="210" t="s">
        <v>0</v>
      </c>
      <c r="S706" s="210"/>
      <c r="T706" s="210"/>
      <c r="U706" s="210"/>
    </row>
    <row r="707" spans="2:21">
      <c r="B707" s="220"/>
      <c r="C707" s="220"/>
      <c r="D707" s="220"/>
      <c r="E707" s="220"/>
      <c r="F707" s="220"/>
      <c r="G707" s="220"/>
      <c r="H707" s="167"/>
      <c r="I707" s="167"/>
      <c r="J707" s="221"/>
      <c r="K707" s="221"/>
      <c r="L707" s="221"/>
      <c r="M707" s="221"/>
      <c r="N707" s="221"/>
      <c r="O707" s="221"/>
      <c r="P707" s="167"/>
      <c r="Q707" s="167"/>
      <c r="R707" s="210"/>
      <c r="S707" s="210"/>
      <c r="T707" s="210"/>
      <c r="U707" s="210"/>
    </row>
    <row r="708" spans="2:21">
      <c r="B708" s="220"/>
      <c r="C708" s="220"/>
      <c r="D708" s="220"/>
      <c r="E708" s="220"/>
      <c r="F708" s="220"/>
      <c r="G708" s="220"/>
      <c r="H708" s="167"/>
      <c r="I708" s="167"/>
      <c r="J708" s="221"/>
      <c r="K708" s="221"/>
      <c r="L708" s="221"/>
      <c r="M708" s="221"/>
      <c r="N708" s="221"/>
      <c r="O708" s="221"/>
      <c r="P708" s="167"/>
      <c r="Q708" s="167"/>
      <c r="R708" s="210"/>
      <c r="S708" s="210"/>
      <c r="T708" s="210"/>
      <c r="U708" s="210"/>
    </row>
    <row r="709" spans="2:21">
      <c r="B709" s="220"/>
      <c r="C709" s="220"/>
      <c r="D709" s="220"/>
      <c r="E709" s="220"/>
      <c r="F709" s="220"/>
      <c r="G709" s="220"/>
      <c r="H709" s="167"/>
      <c r="I709" s="167"/>
      <c r="J709" s="221"/>
      <c r="K709" s="221"/>
      <c r="L709" s="221"/>
      <c r="M709" s="221"/>
      <c r="N709" s="221"/>
      <c r="O709" s="221"/>
      <c r="P709" s="167"/>
      <c r="Q709" s="167"/>
      <c r="R709" s="210"/>
      <c r="S709" s="210"/>
      <c r="T709" s="210"/>
      <c r="U709" s="210"/>
    </row>
    <row r="710" spans="2:21" ht="15.75" thickBot="1">
      <c r="B710" s="223"/>
      <c r="C710" s="223"/>
      <c r="D710" s="223"/>
      <c r="E710" s="223"/>
      <c r="F710" s="223"/>
      <c r="G710" s="223"/>
      <c r="J710" s="222"/>
      <c r="K710" s="222"/>
      <c r="L710" s="222"/>
      <c r="M710" s="222"/>
      <c r="N710" s="222"/>
      <c r="O710" s="222"/>
      <c r="R710" s="205"/>
      <c r="S710" s="205"/>
      <c r="T710" s="205"/>
      <c r="U710" s="205"/>
    </row>
    <row r="711" spans="2:21">
      <c r="B711" s="210" t="s">
        <v>101</v>
      </c>
      <c r="C711" s="210"/>
      <c r="D711" s="210"/>
      <c r="E711" s="210"/>
      <c r="F711" s="210"/>
      <c r="G711" s="210"/>
      <c r="J711" s="204" t="s">
        <v>102</v>
      </c>
      <c r="K711" s="204"/>
      <c r="L711" s="204"/>
      <c r="M711" s="204"/>
      <c r="N711" s="204"/>
      <c r="O711" s="204"/>
      <c r="R711" s="211" t="s">
        <v>136</v>
      </c>
      <c r="S711" s="211"/>
      <c r="T711" s="211"/>
      <c r="U711" s="211"/>
    </row>
    <row r="712" spans="2:21">
      <c r="B712" s="204" t="s">
        <v>103</v>
      </c>
      <c r="C712" s="204"/>
      <c r="D712" s="204"/>
      <c r="E712" s="204"/>
      <c r="F712" s="204"/>
      <c r="G712" s="204"/>
      <c r="J712" s="212" t="s">
        <v>104</v>
      </c>
      <c r="K712" s="212"/>
      <c r="L712" s="212"/>
      <c r="M712" s="212"/>
      <c r="N712" s="212"/>
      <c r="O712" s="212"/>
      <c r="P712" s="118"/>
      <c r="Q712" s="118"/>
      <c r="R712" s="212" t="s">
        <v>105</v>
      </c>
      <c r="S712" s="212"/>
      <c r="T712" s="212"/>
      <c r="U712" s="212"/>
    </row>
    <row r="714" spans="2:21">
      <c r="J714" s="213" t="s">
        <v>50</v>
      </c>
      <c r="K714" s="213"/>
      <c r="L714" s="213"/>
      <c r="M714" s="213"/>
      <c r="N714" s="213"/>
      <c r="O714" s="213"/>
    </row>
    <row r="715" spans="2:21">
      <c r="C715" s="214" t="s">
        <v>157</v>
      </c>
      <c r="D715" s="214"/>
      <c r="E715" s="214"/>
      <c r="F715" s="214"/>
      <c r="J715" s="206" t="s">
        <v>48</v>
      </c>
      <c r="K715" s="206"/>
      <c r="L715" s="206"/>
      <c r="M715" s="206"/>
      <c r="N715" s="206"/>
      <c r="O715" s="206"/>
      <c r="R715" s="206" t="s">
        <v>51</v>
      </c>
      <c r="S715" s="206"/>
      <c r="T715" s="206"/>
      <c r="U715" s="206"/>
    </row>
    <row r="716" spans="2:21">
      <c r="B716" s="204"/>
      <c r="C716" s="204"/>
      <c r="D716" s="204"/>
      <c r="E716" s="204"/>
      <c r="F716" s="204"/>
      <c r="G716" s="204"/>
      <c r="J716" s="206"/>
      <c r="K716" s="206"/>
      <c r="L716" s="206"/>
      <c r="M716" s="206"/>
      <c r="N716" s="206"/>
      <c r="O716" s="206"/>
      <c r="R716" s="204"/>
      <c r="S716" s="204"/>
      <c r="T716" s="204"/>
      <c r="U716" s="204"/>
    </row>
    <row r="717" spans="2:21">
      <c r="B717" s="204"/>
      <c r="C717" s="204"/>
      <c r="D717" s="204"/>
      <c r="E717" s="204"/>
      <c r="F717" s="204"/>
      <c r="G717" s="204"/>
      <c r="J717" s="206"/>
      <c r="K717" s="206"/>
      <c r="L717" s="206"/>
      <c r="M717" s="206"/>
      <c r="N717" s="206"/>
      <c r="O717" s="206"/>
      <c r="R717" s="204"/>
      <c r="S717" s="204"/>
      <c r="T717" s="204"/>
      <c r="U717" s="204"/>
    </row>
    <row r="718" spans="2:21">
      <c r="B718" s="204"/>
      <c r="C718" s="204"/>
      <c r="D718" s="204"/>
      <c r="E718" s="204"/>
      <c r="F718" s="204"/>
      <c r="G718" s="204"/>
      <c r="J718" s="206"/>
      <c r="K718" s="206"/>
      <c r="L718" s="206"/>
      <c r="M718" s="206"/>
      <c r="N718" s="206"/>
      <c r="O718" s="206"/>
      <c r="R718" s="204"/>
      <c r="S718" s="204"/>
      <c r="T718" s="204"/>
      <c r="U718" s="204"/>
    </row>
    <row r="719" spans="2:21" ht="15.75" thickBot="1">
      <c r="B719" s="205"/>
      <c r="C719" s="205"/>
      <c r="D719" s="205"/>
      <c r="E719" s="205"/>
      <c r="F719" s="205"/>
      <c r="G719" s="205"/>
      <c r="H719" s="51"/>
      <c r="I719" s="51"/>
      <c r="J719" s="207"/>
      <c r="K719" s="207"/>
      <c r="L719" s="207"/>
      <c r="M719" s="207"/>
      <c r="N719" s="207"/>
      <c r="O719" s="207"/>
      <c r="P719" s="51"/>
      <c r="Q719" s="51"/>
      <c r="R719" s="205"/>
      <c r="S719" s="205"/>
      <c r="T719" s="205"/>
      <c r="U719" s="205"/>
    </row>
    <row r="720" spans="2:21">
      <c r="B720" s="208" t="s">
        <v>106</v>
      </c>
      <c r="C720" s="208"/>
      <c r="D720" s="208"/>
      <c r="E720" s="208"/>
      <c r="F720" s="208"/>
      <c r="G720" s="208"/>
      <c r="H720" s="119"/>
      <c r="I720" s="119"/>
      <c r="J720" s="208" t="s">
        <v>107</v>
      </c>
      <c r="K720" s="208"/>
      <c r="L720" s="208"/>
      <c r="M720" s="208"/>
      <c r="N720" s="208"/>
      <c r="O720" s="208"/>
      <c r="P720" s="51"/>
      <c r="Q720" s="51"/>
      <c r="R720" s="208" t="s">
        <v>108</v>
      </c>
      <c r="S720" s="208"/>
      <c r="T720" s="208"/>
      <c r="U720" s="208"/>
    </row>
    <row r="721" spans="1:21" ht="32.25" customHeight="1">
      <c r="B721" s="209" t="s">
        <v>109</v>
      </c>
      <c r="C721" s="209"/>
      <c r="D721" s="209"/>
      <c r="E721" s="209"/>
      <c r="F721" s="209"/>
      <c r="G721" s="209"/>
      <c r="J721" s="209" t="s">
        <v>110</v>
      </c>
      <c r="K721" s="209"/>
      <c r="L721" s="209"/>
      <c r="M721" s="209"/>
      <c r="N721" s="209"/>
      <c r="O721" s="209"/>
      <c r="R721" s="209" t="s">
        <v>111</v>
      </c>
      <c r="S721" s="209"/>
      <c r="T721" s="209"/>
      <c r="U721" s="209"/>
    </row>
    <row r="723" spans="1:21" ht="23.25">
      <c r="B723" s="443" t="s">
        <v>99</v>
      </c>
      <c r="C723" s="443"/>
      <c r="D723" s="443"/>
      <c r="E723" s="443"/>
      <c r="F723" s="443"/>
      <c r="G723" s="443"/>
      <c r="H723" s="443"/>
      <c r="I723" s="443"/>
      <c r="J723" s="443"/>
      <c r="K723" s="443"/>
      <c r="L723" s="443"/>
      <c r="M723" s="443"/>
      <c r="N723" s="443"/>
      <c r="O723" s="443"/>
      <c r="P723" s="443"/>
      <c r="Q723" s="443"/>
      <c r="R723" s="443"/>
      <c r="S723" s="443"/>
      <c r="T723" s="443"/>
      <c r="U723" s="443"/>
    </row>
    <row r="726" spans="1:21" ht="15" customHeight="1"/>
    <row r="727" spans="1:21" ht="15" customHeight="1">
      <c r="F727" s="1"/>
      <c r="G727" s="1"/>
      <c r="H727" s="1"/>
      <c r="I727" s="1"/>
      <c r="J727" s="1"/>
      <c r="K727" s="1"/>
      <c r="L727" s="1"/>
      <c r="M727" s="1"/>
      <c r="N727" s="1"/>
      <c r="O727" s="1"/>
    </row>
    <row r="728" spans="1:21" ht="15" customHeight="1">
      <c r="B728" s="427" t="s">
        <v>125</v>
      </c>
      <c r="C728" s="427"/>
      <c r="D728" s="427"/>
      <c r="E728" s="427"/>
      <c r="F728" s="427"/>
      <c r="G728" s="427"/>
      <c r="H728" s="427"/>
      <c r="I728" s="427"/>
      <c r="J728" s="427"/>
      <c r="K728" s="427"/>
      <c r="L728" s="427"/>
      <c r="M728" s="427"/>
      <c r="N728" s="427"/>
      <c r="O728" s="427"/>
      <c r="P728" s="427"/>
      <c r="Q728" s="427"/>
      <c r="R728" s="427"/>
      <c r="S728" s="427"/>
      <c r="T728" s="427"/>
      <c r="U728" s="427"/>
    </row>
    <row r="729" spans="1:21" ht="15" customHeight="1">
      <c r="F729" t="s">
        <v>0</v>
      </c>
    </row>
    <row r="730" spans="1:21" ht="15" customHeight="1">
      <c r="B730" s="2"/>
      <c r="C730" s="2"/>
      <c r="D730" s="2"/>
      <c r="E730" s="2"/>
      <c r="F730" s="2"/>
      <c r="G730" s="2"/>
      <c r="H730" s="2"/>
      <c r="I730" s="2"/>
      <c r="J730" s="2"/>
      <c r="K730" s="2"/>
      <c r="L730" s="2"/>
      <c r="M730" s="2"/>
      <c r="N730" s="2"/>
      <c r="O730" s="2"/>
      <c r="P730" s="2"/>
      <c r="Q730" s="2"/>
      <c r="R730" s="2"/>
      <c r="S730" s="2"/>
      <c r="T730" s="2"/>
      <c r="U730" s="2"/>
    </row>
    <row r="731" spans="1:21" ht="15" customHeight="1" thickBot="1">
      <c r="B731" s="3"/>
      <c r="C731" s="3"/>
      <c r="D731" s="3"/>
      <c r="E731" s="3"/>
      <c r="F731" s="3"/>
      <c r="G731" s="3"/>
      <c r="H731" s="3"/>
      <c r="I731" s="3"/>
      <c r="J731" s="3"/>
      <c r="K731" s="3"/>
      <c r="L731" s="3"/>
      <c r="M731" s="3"/>
      <c r="N731" s="3"/>
      <c r="O731" s="3"/>
      <c r="P731" s="3"/>
      <c r="Q731" s="3"/>
      <c r="R731" s="3"/>
      <c r="S731" s="3"/>
      <c r="T731" s="3"/>
      <c r="U731" s="3"/>
    </row>
    <row r="732" spans="1:21" ht="15" customHeight="1">
      <c r="B732" s="385" t="s">
        <v>1</v>
      </c>
      <c r="C732" s="386"/>
      <c r="D732" s="386"/>
      <c r="E732" s="386"/>
      <c r="F732" s="387"/>
      <c r="G732" s="428" t="s">
        <v>164</v>
      </c>
      <c r="H732" s="429"/>
      <c r="I732" s="429"/>
      <c r="J732" s="429"/>
      <c r="K732" s="429"/>
      <c r="L732" s="429"/>
      <c r="M732" s="429"/>
      <c r="N732" s="429"/>
      <c r="O732" s="429"/>
      <c r="P732" s="429"/>
      <c r="Q732" s="429"/>
      <c r="R732" s="429"/>
      <c r="S732" s="429"/>
      <c r="T732" s="429"/>
      <c r="U732" s="430"/>
    </row>
    <row r="733" spans="1:21" ht="15" customHeight="1">
      <c r="A733" s="4"/>
      <c r="B733" s="431" t="s">
        <v>2</v>
      </c>
      <c r="C733" s="432"/>
      <c r="D733" s="432"/>
      <c r="E733" s="432"/>
      <c r="F733" s="433"/>
      <c r="G733" s="434" t="s">
        <v>163</v>
      </c>
      <c r="H733" s="435"/>
      <c r="I733" s="435"/>
      <c r="J733" s="435"/>
      <c r="K733" s="435"/>
      <c r="L733" s="435"/>
      <c r="M733" s="435"/>
      <c r="N733" s="435"/>
      <c r="O733" s="435"/>
      <c r="P733" s="435"/>
      <c r="Q733" s="435"/>
      <c r="R733" s="435"/>
      <c r="S733" s="435"/>
      <c r="T733" s="435"/>
      <c r="U733" s="436"/>
    </row>
    <row r="734" spans="1:21" ht="15" customHeight="1">
      <c r="A734" s="4"/>
      <c r="B734" s="385" t="s">
        <v>3</v>
      </c>
      <c r="C734" s="386"/>
      <c r="D734" s="386"/>
      <c r="E734" s="386"/>
      <c r="F734" s="387"/>
      <c r="G734" s="437" t="s">
        <v>156</v>
      </c>
      <c r="H734" s="438"/>
      <c r="I734" s="438"/>
      <c r="J734" s="438"/>
      <c r="K734" s="438"/>
      <c r="L734" s="438"/>
      <c r="M734" s="438"/>
      <c r="N734" s="438"/>
      <c r="O734" s="438"/>
      <c r="P734" s="438"/>
      <c r="Q734" s="438"/>
      <c r="R734" s="438"/>
      <c r="S734" s="438"/>
      <c r="T734" s="438"/>
      <c r="U734" s="439"/>
    </row>
    <row r="735" spans="1:21" ht="15" customHeight="1">
      <c r="A735" s="4"/>
      <c r="B735" s="385" t="s">
        <v>4</v>
      </c>
      <c r="C735" s="386"/>
      <c r="D735" s="386"/>
      <c r="E735" s="386"/>
      <c r="F735" s="387"/>
      <c r="G735" s="440" t="s">
        <v>165</v>
      </c>
      <c r="H735" s="441"/>
      <c r="I735" s="441"/>
      <c r="J735" s="441"/>
      <c r="K735" s="441"/>
      <c r="L735" s="441"/>
      <c r="M735" s="441"/>
      <c r="N735" s="441"/>
      <c r="O735" s="441"/>
      <c r="P735" s="441"/>
      <c r="Q735" s="441"/>
      <c r="R735" s="441"/>
      <c r="S735" s="441"/>
      <c r="T735" s="441"/>
      <c r="U735" s="442"/>
    </row>
    <row r="736" spans="1:21" ht="15" customHeight="1">
      <c r="A736" s="4"/>
      <c r="B736" s="385" t="s">
        <v>5</v>
      </c>
      <c r="C736" s="386"/>
      <c r="D736" s="386"/>
      <c r="E736" s="386"/>
      <c r="F736" s="387"/>
      <c r="G736" s="410" t="s">
        <v>6</v>
      </c>
      <c r="H736" s="411"/>
      <c r="I736" s="412">
        <v>779836</v>
      </c>
      <c r="J736" s="413"/>
      <c r="K736" s="413"/>
      <c r="L736" s="414"/>
      <c r="M736" s="5" t="s">
        <v>7</v>
      </c>
      <c r="N736" s="412">
        <v>0</v>
      </c>
      <c r="O736" s="413"/>
      <c r="P736" s="413"/>
      <c r="Q736" s="414"/>
      <c r="R736" s="415" t="s">
        <v>8</v>
      </c>
      <c r="S736" s="416"/>
      <c r="T736" s="412">
        <v>0</v>
      </c>
      <c r="U736" s="417"/>
    </row>
    <row r="737" spans="1:27">
      <c r="A737" s="4"/>
      <c r="B737" s="385" t="s">
        <v>9</v>
      </c>
      <c r="C737" s="386"/>
      <c r="D737" s="386"/>
      <c r="E737" s="386"/>
      <c r="F737" s="387"/>
      <c r="G737" s="418" t="s">
        <v>6</v>
      </c>
      <c r="H737" s="419"/>
      <c r="I737" s="412">
        <v>779836</v>
      </c>
      <c r="J737" s="413"/>
      <c r="K737" s="413"/>
      <c r="L737" s="414"/>
      <c r="M737" s="5" t="s">
        <v>7</v>
      </c>
      <c r="N737" s="420">
        <v>0</v>
      </c>
      <c r="O737" s="421"/>
      <c r="P737" s="421"/>
      <c r="Q737" s="422"/>
      <c r="R737" s="423"/>
      <c r="S737" s="424"/>
      <c r="T737" s="424"/>
      <c r="U737" s="425"/>
    </row>
    <row r="738" spans="1:27" ht="15.75" thickBot="1">
      <c r="A738" s="4"/>
      <c r="B738" s="385" t="s">
        <v>10</v>
      </c>
      <c r="C738" s="386"/>
      <c r="D738" s="386"/>
      <c r="E738" s="386"/>
      <c r="F738" s="387"/>
      <c r="G738" s="460" t="s">
        <v>100</v>
      </c>
      <c r="H738" s="461"/>
      <c r="I738" s="461"/>
      <c r="J738" s="461"/>
      <c r="K738" s="461"/>
      <c r="L738" s="461"/>
      <c r="M738" s="461"/>
      <c r="N738" s="461"/>
      <c r="O738" s="461"/>
      <c r="P738" s="461"/>
      <c r="Q738" s="461"/>
      <c r="R738" s="461"/>
      <c r="S738" s="461"/>
      <c r="T738" s="461"/>
      <c r="U738" s="462"/>
    </row>
    <row r="739" spans="1:27" ht="15.75" customHeight="1" thickBot="1">
      <c r="A739" s="4"/>
      <c r="B739" s="391" t="s">
        <v>11</v>
      </c>
      <c r="C739" s="392"/>
      <c r="D739" s="392"/>
      <c r="E739" s="392"/>
      <c r="F739" s="393"/>
      <c r="G739" s="394" t="s">
        <v>118</v>
      </c>
      <c r="H739" s="395"/>
      <c r="I739" s="395"/>
      <c r="J739" s="395"/>
      <c r="K739" s="395"/>
      <c r="L739" s="395"/>
      <c r="M739" s="395"/>
      <c r="N739" s="395"/>
      <c r="O739" s="395"/>
      <c r="P739" s="395"/>
      <c r="Q739" s="395"/>
      <c r="R739" s="395"/>
      <c r="S739" s="395"/>
      <c r="T739" s="395"/>
      <c r="U739" s="396"/>
    </row>
    <row r="740" spans="1:27" ht="15.75" thickBot="1">
      <c r="B740" s="397"/>
      <c r="C740" s="397"/>
      <c r="D740" s="397"/>
      <c r="E740" s="397"/>
      <c r="F740" s="397"/>
      <c r="G740" s="397"/>
      <c r="H740" s="397"/>
      <c r="I740" s="397"/>
      <c r="J740" s="397"/>
      <c r="K740" s="397"/>
      <c r="L740" s="397"/>
      <c r="M740" s="397"/>
      <c r="N740" s="397"/>
      <c r="O740" s="397"/>
      <c r="P740" s="397"/>
      <c r="Q740" s="397"/>
      <c r="R740" s="397"/>
      <c r="S740" s="397"/>
      <c r="T740" s="397"/>
      <c r="U740" s="397"/>
    </row>
    <row r="741" spans="1:27" ht="16.5" thickBot="1">
      <c r="A741" s="4"/>
      <c r="B741" s="306" t="s">
        <v>12</v>
      </c>
      <c r="C741" s="307"/>
      <c r="D741" s="308"/>
      <c r="E741" s="307" t="s">
        <v>13</v>
      </c>
      <c r="F741" s="308"/>
      <c r="G741" s="312" t="s">
        <v>14</v>
      </c>
      <c r="H741" s="313"/>
      <c r="I741" s="313"/>
      <c r="J741" s="313"/>
      <c r="K741" s="313"/>
      <c r="L741" s="313"/>
      <c r="M741" s="313"/>
      <c r="N741" s="313"/>
      <c r="O741" s="313"/>
      <c r="P741" s="313"/>
      <c r="Q741" s="313"/>
      <c r="R741" s="313"/>
      <c r="S741" s="313"/>
      <c r="T741" s="313"/>
      <c r="U741" s="314"/>
    </row>
    <row r="742" spans="1:27" ht="15.75" thickBot="1">
      <c r="A742" s="4"/>
      <c r="B742" s="309"/>
      <c r="C742" s="310"/>
      <c r="D742" s="311"/>
      <c r="E742" s="310"/>
      <c r="F742" s="311"/>
      <c r="G742" s="315" t="s">
        <v>15</v>
      </c>
      <c r="H742" s="316"/>
      <c r="I742" s="267" t="s">
        <v>16</v>
      </c>
      <c r="J742" s="268"/>
      <c r="K742" s="268"/>
      <c r="L742" s="268"/>
      <c r="M742" s="268"/>
      <c r="N742" s="269"/>
      <c r="O742" s="403" t="s">
        <v>17</v>
      </c>
      <c r="P742" s="404"/>
      <c r="Q742" s="404"/>
      <c r="R742" s="404"/>
      <c r="S742" s="404"/>
      <c r="T742" s="404"/>
      <c r="U742" s="405"/>
    </row>
    <row r="743" spans="1:27">
      <c r="A743" s="4"/>
      <c r="B743" s="309"/>
      <c r="C743" s="310"/>
      <c r="D743" s="311"/>
      <c r="E743" s="310"/>
      <c r="F743" s="311"/>
      <c r="G743" s="317"/>
      <c r="H743" s="318"/>
      <c r="I743" s="315" t="s">
        <v>18</v>
      </c>
      <c r="J743" s="406"/>
      <c r="K743" s="406"/>
      <c r="L743" s="315" t="s">
        <v>19</v>
      </c>
      <c r="M743" s="406"/>
      <c r="N743" s="316"/>
      <c r="O743" s="408" t="s">
        <v>18</v>
      </c>
      <c r="P743" s="409"/>
      <c r="Q743" s="409"/>
      <c r="R743" s="315" t="s">
        <v>19</v>
      </c>
      <c r="S743" s="406"/>
      <c r="T743" s="406"/>
      <c r="U743" s="326" t="s">
        <v>20</v>
      </c>
      <c r="V743" s="200" t="s">
        <v>153</v>
      </c>
      <c r="W743" s="201"/>
      <c r="X743" s="200" t="s">
        <v>154</v>
      </c>
      <c r="Y743" s="201"/>
      <c r="Z743" s="200" t="s">
        <v>155</v>
      </c>
      <c r="AA743" s="201"/>
    </row>
    <row r="744" spans="1:27" ht="15.75" thickBot="1">
      <c r="A744" s="4"/>
      <c r="B744" s="398"/>
      <c r="C744" s="399"/>
      <c r="D744" s="400"/>
      <c r="E744" s="399"/>
      <c r="F744" s="400"/>
      <c r="G744" s="401"/>
      <c r="H744" s="402"/>
      <c r="I744" s="401"/>
      <c r="J744" s="407"/>
      <c r="K744" s="407"/>
      <c r="L744" s="401"/>
      <c r="M744" s="407"/>
      <c r="N744" s="402"/>
      <c r="O744" s="401"/>
      <c r="P744" s="407"/>
      <c r="Q744" s="407"/>
      <c r="R744" s="401"/>
      <c r="S744" s="407"/>
      <c r="T744" s="407"/>
      <c r="U744" s="327"/>
      <c r="V744" s="202"/>
      <c r="W744" s="203"/>
      <c r="X744" s="202"/>
      <c r="Y744" s="203"/>
      <c r="Z744" s="202"/>
      <c r="AA744" s="203"/>
    </row>
    <row r="745" spans="1:27">
      <c r="A745" s="4"/>
      <c r="B745" s="372" t="s">
        <v>59</v>
      </c>
      <c r="C745" s="373"/>
      <c r="D745" s="374"/>
      <c r="E745" s="375"/>
      <c r="F745" s="376"/>
      <c r="G745" s="377"/>
      <c r="H745" s="378"/>
      <c r="I745" s="379"/>
      <c r="J745" s="380"/>
      <c r="K745" s="378"/>
      <c r="L745" s="381"/>
      <c r="M745" s="380"/>
      <c r="N745" s="382"/>
      <c r="O745" s="383"/>
      <c r="P745" s="384"/>
      <c r="Q745" s="384"/>
      <c r="R745" s="384"/>
      <c r="S745" s="384"/>
      <c r="T745" s="384"/>
      <c r="U745" s="53"/>
    </row>
    <row r="746" spans="1:27">
      <c r="A746" s="4"/>
      <c r="B746" s="354" t="s">
        <v>76</v>
      </c>
      <c r="C746" s="362"/>
      <c r="D746" s="363"/>
      <c r="E746" s="364"/>
      <c r="F746" s="365"/>
      <c r="G746" s="366"/>
      <c r="H746" s="367"/>
      <c r="I746" s="371"/>
      <c r="J746" s="370"/>
      <c r="K746" s="370"/>
      <c r="L746" s="370"/>
      <c r="M746" s="370"/>
      <c r="N746" s="365"/>
      <c r="O746" s="371"/>
      <c r="P746" s="370"/>
      <c r="Q746" s="370"/>
      <c r="R746" s="370"/>
      <c r="S746" s="370"/>
      <c r="T746" s="370"/>
      <c r="U746" s="112"/>
    </row>
    <row r="747" spans="1:27">
      <c r="A747" s="4"/>
      <c r="B747" s="328" t="s">
        <v>56</v>
      </c>
      <c r="C747" s="329"/>
      <c r="D747" s="330"/>
      <c r="E747" s="331" t="s">
        <v>58</v>
      </c>
      <c r="F747" s="332"/>
      <c r="G747" s="348">
        <v>170</v>
      </c>
      <c r="H747" s="359"/>
      <c r="I747" s="350">
        <v>0</v>
      </c>
      <c r="J747" s="351"/>
      <c r="K747" s="349"/>
      <c r="L747" s="350">
        <v>0</v>
      </c>
      <c r="M747" s="351"/>
      <c r="N747" s="352"/>
      <c r="O747" s="353">
        <v>170</v>
      </c>
      <c r="P747" s="351"/>
      <c r="Q747" s="349"/>
      <c r="R747" s="350">
        <v>170</v>
      </c>
      <c r="S747" s="351"/>
      <c r="T747" s="349"/>
      <c r="U747" s="6">
        <f t="shared" ref="U747" si="193">R747/G747</f>
        <v>1</v>
      </c>
      <c r="V747" s="193">
        <f>+I747+O627</f>
        <v>170</v>
      </c>
      <c r="W747" s="193">
        <f>+O747-V747</f>
        <v>0</v>
      </c>
      <c r="X747" s="193">
        <f>+L747+R627</f>
        <v>170</v>
      </c>
      <c r="Y747" s="193">
        <f>+R747-X747</f>
        <v>0</v>
      </c>
      <c r="Z747" s="195">
        <f>+X747/G747</f>
        <v>1</v>
      </c>
      <c r="AA747" s="194">
        <f>+U747-Z747</f>
        <v>0</v>
      </c>
    </row>
    <row r="748" spans="1:27">
      <c r="A748" s="4"/>
      <c r="B748" s="328" t="s">
        <v>57</v>
      </c>
      <c r="C748" s="329"/>
      <c r="D748" s="330"/>
      <c r="E748" s="331" t="s">
        <v>58</v>
      </c>
      <c r="F748" s="332"/>
      <c r="G748" s="348">
        <v>4405</v>
      </c>
      <c r="H748" s="349"/>
      <c r="I748" s="350">
        <v>340</v>
      </c>
      <c r="J748" s="351"/>
      <c r="K748" s="349"/>
      <c r="L748" s="350">
        <v>340</v>
      </c>
      <c r="M748" s="351"/>
      <c r="N748" s="352"/>
      <c r="O748" s="353">
        <f>340+340+340+417+418+340+340</f>
        <v>2535</v>
      </c>
      <c r="P748" s="351"/>
      <c r="Q748" s="349"/>
      <c r="R748" s="350">
        <f>339+339+338+420+340+268+340</f>
        <v>2384</v>
      </c>
      <c r="S748" s="351"/>
      <c r="T748" s="349"/>
      <c r="U748" s="54">
        <f>R748/G748</f>
        <v>0.54120317820658348</v>
      </c>
      <c r="V748" s="193">
        <f>+I748+O628</f>
        <v>2535</v>
      </c>
      <c r="W748" s="193">
        <f>+O748-V748</f>
        <v>0</v>
      </c>
      <c r="X748" s="193">
        <f>+L748+R628</f>
        <v>2384</v>
      </c>
      <c r="Y748" s="193">
        <f>+R748-X748</f>
        <v>0</v>
      </c>
      <c r="Z748" s="195">
        <f>+X748/G748</f>
        <v>0.54120317820658348</v>
      </c>
      <c r="AA748" s="194">
        <f>+U748-Z748</f>
        <v>0</v>
      </c>
    </row>
    <row r="749" spans="1:27" ht="15" customHeight="1">
      <c r="A749" s="4"/>
      <c r="B749" s="354" t="s">
        <v>77</v>
      </c>
      <c r="C749" s="362"/>
      <c r="D749" s="363"/>
      <c r="E749" s="364"/>
      <c r="F749" s="365"/>
      <c r="G749" s="366"/>
      <c r="H749" s="367"/>
      <c r="I749" s="371"/>
      <c r="J749" s="370"/>
      <c r="K749" s="370"/>
      <c r="L749" s="370"/>
      <c r="M749" s="370"/>
      <c r="N749" s="365"/>
      <c r="O749" s="371"/>
      <c r="P749" s="370"/>
      <c r="Q749" s="370"/>
      <c r="R749" s="370"/>
      <c r="S749" s="370"/>
      <c r="T749" s="370"/>
      <c r="U749" s="112"/>
    </row>
    <row r="750" spans="1:27">
      <c r="A750" s="4"/>
      <c r="B750" s="328" t="s">
        <v>56</v>
      </c>
      <c r="C750" s="329"/>
      <c r="D750" s="330"/>
      <c r="E750" s="331" t="s">
        <v>58</v>
      </c>
      <c r="F750" s="332"/>
      <c r="G750" s="348">
        <v>35</v>
      </c>
      <c r="H750" s="359"/>
      <c r="I750" s="350">
        <v>0</v>
      </c>
      <c r="J750" s="351"/>
      <c r="K750" s="349"/>
      <c r="L750" s="350">
        <v>0</v>
      </c>
      <c r="M750" s="351"/>
      <c r="N750" s="352"/>
      <c r="O750" s="353">
        <v>35</v>
      </c>
      <c r="P750" s="351"/>
      <c r="Q750" s="349"/>
      <c r="R750" s="350">
        <v>35</v>
      </c>
      <c r="S750" s="351"/>
      <c r="T750" s="349"/>
      <c r="U750" s="6">
        <f t="shared" ref="U750" si="194">R750/G750</f>
        <v>1</v>
      </c>
      <c r="V750" s="193">
        <f t="shared" ref="V750:V751" si="195">+I750+O630</f>
        <v>35</v>
      </c>
      <c r="W750" s="193">
        <f t="shared" ref="W750:W751" si="196">+O750-V750</f>
        <v>0</v>
      </c>
      <c r="X750" s="193">
        <f t="shared" ref="X750:X751" si="197">+L750+R630</f>
        <v>35</v>
      </c>
      <c r="Y750" s="193">
        <f t="shared" ref="Y750:Y751" si="198">+R750-X750</f>
        <v>0</v>
      </c>
      <c r="Z750" s="195">
        <f t="shared" ref="Z750:Z751" si="199">+X750/G750</f>
        <v>1</v>
      </c>
      <c r="AA750" s="194">
        <f t="shared" ref="AA750:AA751" si="200">+U750-Z750</f>
        <v>0</v>
      </c>
    </row>
    <row r="751" spans="1:27">
      <c r="A751" s="4"/>
      <c r="B751" s="328" t="s">
        <v>57</v>
      </c>
      <c r="C751" s="329"/>
      <c r="D751" s="330"/>
      <c r="E751" s="331" t="s">
        <v>58</v>
      </c>
      <c r="F751" s="332"/>
      <c r="G751" s="348">
        <v>907</v>
      </c>
      <c r="H751" s="349"/>
      <c r="I751" s="360">
        <v>70</v>
      </c>
      <c r="J751" s="341"/>
      <c r="K751" s="361"/>
      <c r="L751" s="350">
        <v>70</v>
      </c>
      <c r="M751" s="351"/>
      <c r="N751" s="352"/>
      <c r="O751" s="353">
        <f>70+70+70+88+84+70+70</f>
        <v>522</v>
      </c>
      <c r="P751" s="351"/>
      <c r="Q751" s="349"/>
      <c r="R751" s="350">
        <f>70+70+70+88+69+55+70</f>
        <v>492</v>
      </c>
      <c r="S751" s="351"/>
      <c r="T751" s="349"/>
      <c r="U751" s="54">
        <f>R751/G751</f>
        <v>0.54244762954796033</v>
      </c>
      <c r="V751" s="193">
        <f t="shared" si="195"/>
        <v>522</v>
      </c>
      <c r="W751" s="193">
        <f t="shared" si="196"/>
        <v>0</v>
      </c>
      <c r="X751" s="193">
        <f t="shared" si="197"/>
        <v>492</v>
      </c>
      <c r="Y751" s="193">
        <f t="shared" si="198"/>
        <v>0</v>
      </c>
      <c r="Z751" s="195">
        <f t="shared" si="199"/>
        <v>0.54244762954796033</v>
      </c>
      <c r="AA751" s="194">
        <f t="shared" si="200"/>
        <v>0</v>
      </c>
    </row>
    <row r="752" spans="1:27" ht="15" customHeight="1">
      <c r="A752" s="4"/>
      <c r="B752" s="354" t="s">
        <v>78</v>
      </c>
      <c r="C752" s="362"/>
      <c r="D752" s="363"/>
      <c r="E752" s="364"/>
      <c r="F752" s="365"/>
      <c r="G752" s="366"/>
      <c r="H752" s="367"/>
      <c r="I752" s="368"/>
      <c r="J752" s="369"/>
      <c r="K752" s="369"/>
      <c r="L752" s="370"/>
      <c r="M752" s="370"/>
      <c r="N752" s="365"/>
      <c r="O752" s="371"/>
      <c r="P752" s="370"/>
      <c r="Q752" s="370"/>
      <c r="R752" s="370"/>
      <c r="S752" s="370"/>
      <c r="T752" s="370"/>
      <c r="U752" s="112"/>
    </row>
    <row r="753" spans="1:27">
      <c r="A753" s="4"/>
      <c r="B753" s="328" t="s">
        <v>56</v>
      </c>
      <c r="C753" s="329"/>
      <c r="D753" s="330"/>
      <c r="E753" s="331" t="s">
        <v>58</v>
      </c>
      <c r="F753" s="332"/>
      <c r="G753" s="348">
        <v>35</v>
      </c>
      <c r="H753" s="359"/>
      <c r="I753" s="360">
        <v>0</v>
      </c>
      <c r="J753" s="341"/>
      <c r="K753" s="361"/>
      <c r="L753" s="350">
        <v>0</v>
      </c>
      <c r="M753" s="351"/>
      <c r="N753" s="352"/>
      <c r="O753" s="353">
        <v>35</v>
      </c>
      <c r="P753" s="351"/>
      <c r="Q753" s="349"/>
      <c r="R753" s="350">
        <v>35</v>
      </c>
      <c r="S753" s="351"/>
      <c r="T753" s="349"/>
      <c r="U753" s="6">
        <f t="shared" ref="U753" si="201">R753/G753</f>
        <v>1</v>
      </c>
      <c r="V753" s="193">
        <f t="shared" ref="V753:V754" si="202">+I753+O633</f>
        <v>35</v>
      </c>
      <c r="W753" s="193">
        <f t="shared" ref="W753:W754" si="203">+O753-V753</f>
        <v>0</v>
      </c>
      <c r="X753" s="193">
        <f t="shared" ref="X753:X754" si="204">+L753+R633</f>
        <v>35</v>
      </c>
      <c r="Y753" s="193">
        <f t="shared" ref="Y753:Y754" si="205">+R753-X753</f>
        <v>0</v>
      </c>
      <c r="Z753" s="195">
        <f t="shared" ref="Z753:Z754" si="206">+X753/G753</f>
        <v>1</v>
      </c>
      <c r="AA753" s="194">
        <f t="shared" ref="AA753:AA754" si="207">+U753-Z753</f>
        <v>0</v>
      </c>
    </row>
    <row r="754" spans="1:27">
      <c r="A754" s="4"/>
      <c r="B754" s="328" t="s">
        <v>57</v>
      </c>
      <c r="C754" s="329"/>
      <c r="D754" s="330"/>
      <c r="E754" s="331" t="s">
        <v>58</v>
      </c>
      <c r="F754" s="332"/>
      <c r="G754" s="348">
        <v>907</v>
      </c>
      <c r="H754" s="349"/>
      <c r="I754" s="360">
        <v>70</v>
      </c>
      <c r="J754" s="341"/>
      <c r="K754" s="361"/>
      <c r="L754" s="350">
        <v>70</v>
      </c>
      <c r="M754" s="351"/>
      <c r="N754" s="352"/>
      <c r="O754" s="353">
        <f>70+70+70+88+84+70+70</f>
        <v>522</v>
      </c>
      <c r="P754" s="351"/>
      <c r="Q754" s="349"/>
      <c r="R754" s="350">
        <f>70+70+70+88+69+55+70</f>
        <v>492</v>
      </c>
      <c r="S754" s="351"/>
      <c r="T754" s="349"/>
      <c r="U754" s="54">
        <f>R754/G754</f>
        <v>0.54244762954796033</v>
      </c>
      <c r="V754" s="193">
        <f t="shared" si="202"/>
        <v>522</v>
      </c>
      <c r="W754" s="193">
        <f t="shared" si="203"/>
        <v>0</v>
      </c>
      <c r="X754" s="193">
        <f t="shared" si="204"/>
        <v>492</v>
      </c>
      <c r="Y754" s="193">
        <f t="shared" si="205"/>
        <v>0</v>
      </c>
      <c r="Z754" s="195">
        <f t="shared" si="206"/>
        <v>0.54244762954796033</v>
      </c>
      <c r="AA754" s="194">
        <f t="shared" si="207"/>
        <v>0</v>
      </c>
    </row>
    <row r="755" spans="1:27" ht="15" customHeight="1">
      <c r="A755" s="4"/>
      <c r="B755" s="354" t="s">
        <v>79</v>
      </c>
      <c r="C755" s="362"/>
      <c r="D755" s="363"/>
      <c r="E755" s="364"/>
      <c r="F755" s="365"/>
      <c r="G755" s="366"/>
      <c r="H755" s="367"/>
      <c r="I755" s="368"/>
      <c r="J755" s="369"/>
      <c r="K755" s="369"/>
      <c r="L755" s="370"/>
      <c r="M755" s="370"/>
      <c r="N755" s="365"/>
      <c r="O755" s="371"/>
      <c r="P755" s="370"/>
      <c r="Q755" s="370"/>
      <c r="R755" s="370"/>
      <c r="S755" s="370"/>
      <c r="T755" s="370"/>
      <c r="U755" s="112"/>
    </row>
    <row r="756" spans="1:27">
      <c r="A756" s="4"/>
      <c r="B756" s="328" t="s">
        <v>56</v>
      </c>
      <c r="C756" s="329"/>
      <c r="D756" s="330"/>
      <c r="E756" s="331" t="s">
        <v>58</v>
      </c>
      <c r="F756" s="332"/>
      <c r="G756" s="348">
        <v>96</v>
      </c>
      <c r="H756" s="359"/>
      <c r="I756" s="360">
        <v>0</v>
      </c>
      <c r="J756" s="341"/>
      <c r="K756" s="361"/>
      <c r="L756" s="350">
        <v>0</v>
      </c>
      <c r="M756" s="351"/>
      <c r="N756" s="352"/>
      <c r="O756" s="353">
        <v>96</v>
      </c>
      <c r="P756" s="351"/>
      <c r="Q756" s="349"/>
      <c r="R756" s="350">
        <v>96</v>
      </c>
      <c r="S756" s="351"/>
      <c r="T756" s="349"/>
      <c r="U756" s="54">
        <f t="shared" ref="U756" si="208">R756/G756</f>
        <v>1</v>
      </c>
      <c r="V756" s="193">
        <f t="shared" ref="V756:V757" si="209">+I756+O636</f>
        <v>96</v>
      </c>
      <c r="W756" s="193">
        <f t="shared" ref="W756:W757" si="210">+O756-V756</f>
        <v>0</v>
      </c>
      <c r="X756" s="193">
        <f t="shared" ref="X756:X757" si="211">+L756+R636</f>
        <v>96</v>
      </c>
      <c r="Y756" s="193">
        <f t="shared" ref="Y756:Y757" si="212">+R756-X756</f>
        <v>0</v>
      </c>
      <c r="Z756" s="195">
        <f t="shared" ref="Z756:Z757" si="213">+X756/G756</f>
        <v>1</v>
      </c>
      <c r="AA756" s="194">
        <f t="shared" ref="AA756:AA757" si="214">+U756-Z756</f>
        <v>0</v>
      </c>
    </row>
    <row r="757" spans="1:27">
      <c r="A757" s="4"/>
      <c r="B757" s="328" t="s">
        <v>57</v>
      </c>
      <c r="C757" s="329"/>
      <c r="D757" s="330"/>
      <c r="E757" s="331" t="s">
        <v>58</v>
      </c>
      <c r="F757" s="332"/>
      <c r="G757" s="348">
        <v>1440</v>
      </c>
      <c r="H757" s="349"/>
      <c r="I757" s="360">
        <v>192</v>
      </c>
      <c r="J757" s="341"/>
      <c r="K757" s="361"/>
      <c r="L757" s="350">
        <v>192</v>
      </c>
      <c r="M757" s="351"/>
      <c r="N757" s="352"/>
      <c r="O757" s="353">
        <f>126+258+192+192</f>
        <v>768</v>
      </c>
      <c r="P757" s="351"/>
      <c r="Q757" s="349"/>
      <c r="R757" s="350">
        <f>126+258+192+192</f>
        <v>768</v>
      </c>
      <c r="S757" s="351"/>
      <c r="T757" s="349"/>
      <c r="U757" s="54">
        <f>R757/G757</f>
        <v>0.53333333333333333</v>
      </c>
      <c r="V757" s="193">
        <f t="shared" si="209"/>
        <v>768</v>
      </c>
      <c r="W757" s="193">
        <f t="shared" si="210"/>
        <v>0</v>
      </c>
      <c r="X757" s="193">
        <f t="shared" si="211"/>
        <v>768</v>
      </c>
      <c r="Y757" s="193">
        <f t="shared" si="212"/>
        <v>0</v>
      </c>
      <c r="Z757" s="195">
        <f t="shared" si="213"/>
        <v>0.53333333333333333</v>
      </c>
      <c r="AA757" s="194">
        <f t="shared" si="214"/>
        <v>0</v>
      </c>
    </row>
    <row r="758" spans="1:27">
      <c r="A758" s="4"/>
      <c r="B758" s="354" t="s">
        <v>63</v>
      </c>
      <c r="C758" s="355"/>
      <c r="D758" s="356"/>
      <c r="E758" s="357"/>
      <c r="F758" s="358"/>
      <c r="G758" s="348"/>
      <c r="H758" s="349"/>
      <c r="I758" s="360"/>
      <c r="J758" s="341"/>
      <c r="K758" s="361"/>
      <c r="L758" s="353"/>
      <c r="M758" s="351"/>
      <c r="N758" s="352"/>
      <c r="O758" s="353"/>
      <c r="P758" s="351"/>
      <c r="Q758" s="351"/>
      <c r="R758" s="351"/>
      <c r="S758" s="351"/>
      <c r="T758" s="351"/>
      <c r="U758" s="6"/>
    </row>
    <row r="759" spans="1:27">
      <c r="A759" s="4"/>
      <c r="B759" s="328" t="s">
        <v>60</v>
      </c>
      <c r="C759" s="329"/>
      <c r="D759" s="330"/>
      <c r="E759" s="331" t="s">
        <v>58</v>
      </c>
      <c r="F759" s="332"/>
      <c r="G759" s="348">
        <v>12</v>
      </c>
      <c r="H759" s="359"/>
      <c r="I759" s="350">
        <v>2</v>
      </c>
      <c r="J759" s="351"/>
      <c r="K759" s="349"/>
      <c r="L759" s="350">
        <v>2</v>
      </c>
      <c r="M759" s="351"/>
      <c r="N759" s="352"/>
      <c r="O759" s="353">
        <f>2+2</f>
        <v>4</v>
      </c>
      <c r="P759" s="351"/>
      <c r="Q759" s="349"/>
      <c r="R759" s="350">
        <f>2+2</f>
        <v>4</v>
      </c>
      <c r="S759" s="351"/>
      <c r="T759" s="349"/>
      <c r="U759" s="54">
        <f>R759/G759</f>
        <v>0.33333333333333331</v>
      </c>
      <c r="V759" s="193">
        <f>+I759+O639</f>
        <v>4</v>
      </c>
      <c r="W759" s="193">
        <f>+O759-V759</f>
        <v>0</v>
      </c>
      <c r="X759" s="193">
        <f>+L759+R639</f>
        <v>4</v>
      </c>
      <c r="Y759" s="193">
        <f>+R759-X759</f>
        <v>0</v>
      </c>
      <c r="Z759" s="195">
        <f>+X759/G759</f>
        <v>0.33333333333333331</v>
      </c>
      <c r="AA759" s="194">
        <f>+U759-Z759</f>
        <v>0</v>
      </c>
    </row>
    <row r="760" spans="1:27">
      <c r="A760" s="4"/>
      <c r="B760" s="354" t="s">
        <v>61</v>
      </c>
      <c r="C760" s="355"/>
      <c r="D760" s="356"/>
      <c r="E760" s="357"/>
      <c r="F760" s="358"/>
      <c r="G760" s="348"/>
      <c r="H760" s="349"/>
      <c r="I760" s="350"/>
      <c r="J760" s="351"/>
      <c r="K760" s="349"/>
      <c r="L760" s="353"/>
      <c r="M760" s="351"/>
      <c r="N760" s="352"/>
      <c r="O760" s="353"/>
      <c r="P760" s="351"/>
      <c r="Q760" s="351"/>
      <c r="R760" s="351"/>
      <c r="S760" s="351"/>
      <c r="T760" s="351"/>
      <c r="U760" s="6"/>
    </row>
    <row r="761" spans="1:27" ht="15" customHeight="1">
      <c r="A761" s="4"/>
      <c r="B761" s="328" t="s">
        <v>61</v>
      </c>
      <c r="C761" s="329"/>
      <c r="D761" s="330"/>
      <c r="E761" s="331" t="s">
        <v>58</v>
      </c>
      <c r="F761" s="332"/>
      <c r="G761" s="348">
        <v>15</v>
      </c>
      <c r="H761" s="349"/>
      <c r="I761" s="350">
        <v>0</v>
      </c>
      <c r="J761" s="351"/>
      <c r="K761" s="349"/>
      <c r="L761" s="350">
        <v>5</v>
      </c>
      <c r="M761" s="351"/>
      <c r="N761" s="352"/>
      <c r="O761" s="353">
        <f>5</f>
        <v>5</v>
      </c>
      <c r="P761" s="351"/>
      <c r="Q761" s="349"/>
      <c r="R761" s="350">
        <f>0+5</f>
        <v>5</v>
      </c>
      <c r="S761" s="351"/>
      <c r="T761" s="349"/>
      <c r="U761" s="54">
        <f>R761/G761</f>
        <v>0.33333333333333331</v>
      </c>
      <c r="V761" s="193">
        <f>+I761+O641</f>
        <v>5</v>
      </c>
      <c r="W761" s="193">
        <f>+O761-V761</f>
        <v>0</v>
      </c>
      <c r="X761" s="193">
        <f>+L761+R641</f>
        <v>5</v>
      </c>
      <c r="Y761" s="193">
        <f>+R761-X761</f>
        <v>0</v>
      </c>
      <c r="Z761" s="195">
        <f>+X761/G761</f>
        <v>0.33333333333333331</v>
      </c>
      <c r="AA761" s="194">
        <f>+U761-Z761</f>
        <v>0</v>
      </c>
    </row>
    <row r="762" spans="1:27" ht="15" customHeight="1">
      <c r="A762" s="4"/>
      <c r="B762" s="354" t="s">
        <v>62</v>
      </c>
      <c r="C762" s="355"/>
      <c r="D762" s="356"/>
      <c r="E762" s="357"/>
      <c r="F762" s="358"/>
      <c r="G762" s="348"/>
      <c r="H762" s="349"/>
      <c r="I762" s="350"/>
      <c r="J762" s="351"/>
      <c r="K762" s="349"/>
      <c r="L762" s="353"/>
      <c r="M762" s="351"/>
      <c r="N762" s="352"/>
      <c r="O762" s="353"/>
      <c r="P762" s="351"/>
      <c r="Q762" s="351"/>
      <c r="R762" s="351"/>
      <c r="S762" s="351"/>
      <c r="T762" s="351"/>
      <c r="U762" s="6"/>
    </row>
    <row r="763" spans="1:27" ht="15" customHeight="1" thickBot="1">
      <c r="A763" s="4"/>
      <c r="B763" s="328" t="s">
        <v>62</v>
      </c>
      <c r="C763" s="329"/>
      <c r="D763" s="330"/>
      <c r="E763" s="331" t="s">
        <v>58</v>
      </c>
      <c r="F763" s="332"/>
      <c r="G763" s="333">
        <v>1</v>
      </c>
      <c r="H763" s="334"/>
      <c r="I763" s="335">
        <v>0</v>
      </c>
      <c r="J763" s="336"/>
      <c r="K763" s="334"/>
      <c r="L763" s="458">
        <v>0</v>
      </c>
      <c r="M763" s="336"/>
      <c r="N763" s="459"/>
      <c r="O763" s="353">
        <v>0</v>
      </c>
      <c r="P763" s="351"/>
      <c r="Q763" s="351"/>
      <c r="R763" s="351">
        <v>0</v>
      </c>
      <c r="S763" s="351"/>
      <c r="T763" s="351"/>
      <c r="U763" s="54">
        <f>R763/G763</f>
        <v>0</v>
      </c>
      <c r="V763" s="193">
        <f>+I763+O643</f>
        <v>0</v>
      </c>
      <c r="W763" s="193">
        <f>+O763-V763</f>
        <v>0</v>
      </c>
      <c r="X763" s="193">
        <f>+L763+R643</f>
        <v>0</v>
      </c>
      <c r="Y763" s="193">
        <f>+R763-X763</f>
        <v>0</v>
      </c>
      <c r="Z763" s="195">
        <f>+X763/G763</f>
        <v>0</v>
      </c>
      <c r="AA763" s="194">
        <f>+U763-Z763</f>
        <v>0</v>
      </c>
    </row>
    <row r="764" spans="1:27" ht="15.75" thickBot="1">
      <c r="A764" s="4"/>
      <c r="B764" s="342" t="s">
        <v>21</v>
      </c>
      <c r="C764" s="343"/>
      <c r="D764" s="343"/>
      <c r="E764" s="343"/>
      <c r="F764" s="344"/>
      <c r="G764" s="345"/>
      <c r="H764" s="346"/>
      <c r="I764" s="346"/>
      <c r="J764" s="346"/>
      <c r="K764" s="346"/>
      <c r="L764" s="346"/>
      <c r="M764" s="346"/>
      <c r="N764" s="347"/>
      <c r="O764" s="345"/>
      <c r="P764" s="346"/>
      <c r="Q764" s="346"/>
      <c r="R764" s="346"/>
      <c r="S764" s="346"/>
      <c r="T764" s="346"/>
      <c r="U764" s="347"/>
    </row>
    <row r="765" spans="1:27" ht="15.75" thickBot="1">
      <c r="B765" s="7"/>
      <c r="C765" s="8"/>
      <c r="D765" s="9"/>
      <c r="E765" s="10"/>
      <c r="F765" s="11"/>
      <c r="G765" s="12"/>
      <c r="H765" s="13"/>
      <c r="I765" s="14"/>
      <c r="J765" s="14"/>
      <c r="K765" s="15"/>
      <c r="L765" s="14"/>
      <c r="M765" s="15"/>
      <c r="N765" s="14"/>
      <c r="O765" s="14"/>
      <c r="P765" s="14"/>
      <c r="Q765" s="14"/>
      <c r="R765" s="15"/>
      <c r="S765" s="14"/>
      <c r="T765" s="12"/>
      <c r="U765" s="14"/>
    </row>
    <row r="766" spans="1:27" ht="16.5" customHeight="1" thickBot="1">
      <c r="A766" s="4"/>
      <c r="B766" s="306" t="s">
        <v>22</v>
      </c>
      <c r="C766" s="307"/>
      <c r="D766" s="307"/>
      <c r="E766" s="307"/>
      <c r="F766" s="308"/>
      <c r="G766" s="312" t="s">
        <v>129</v>
      </c>
      <c r="H766" s="313"/>
      <c r="I766" s="313"/>
      <c r="J766" s="313"/>
      <c r="K766" s="313"/>
      <c r="L766" s="313"/>
      <c r="M766" s="313"/>
      <c r="N766" s="313"/>
      <c r="O766" s="313"/>
      <c r="P766" s="313"/>
      <c r="Q766" s="313"/>
      <c r="R766" s="313"/>
      <c r="S766" s="313"/>
      <c r="T766" s="313"/>
      <c r="U766" s="314"/>
    </row>
    <row r="767" spans="1:27" ht="15.75" thickBot="1">
      <c r="A767" s="4"/>
      <c r="B767" s="309"/>
      <c r="C767" s="310"/>
      <c r="D767" s="310"/>
      <c r="E767" s="310"/>
      <c r="F767" s="311"/>
      <c r="G767" s="315" t="s">
        <v>24</v>
      </c>
      <c r="H767" s="316"/>
      <c r="I767" s="310" t="s">
        <v>16</v>
      </c>
      <c r="J767" s="310"/>
      <c r="K767" s="310"/>
      <c r="L767" s="310"/>
      <c r="M767" s="310"/>
      <c r="N767" s="311"/>
      <c r="O767" s="321" t="s">
        <v>17</v>
      </c>
      <c r="P767" s="322"/>
      <c r="Q767" s="322"/>
      <c r="R767" s="322"/>
      <c r="S767" s="322"/>
      <c r="T767" s="322"/>
      <c r="U767" s="323"/>
    </row>
    <row r="768" spans="1:27" ht="15.75" customHeight="1" thickBot="1">
      <c r="A768" s="4"/>
      <c r="B768" s="309"/>
      <c r="C768" s="310"/>
      <c r="D768" s="310"/>
      <c r="E768" s="310"/>
      <c r="F768" s="311"/>
      <c r="G768" s="317"/>
      <c r="H768" s="318"/>
      <c r="I768" s="267" t="s">
        <v>18</v>
      </c>
      <c r="J768" s="268"/>
      <c r="K768" s="269"/>
      <c r="L768" s="267" t="s">
        <v>25</v>
      </c>
      <c r="M768" s="268"/>
      <c r="N768" s="269"/>
      <c r="O768" s="267" t="s">
        <v>18</v>
      </c>
      <c r="P768" s="268"/>
      <c r="Q768" s="324"/>
      <c r="R768" s="325" t="s">
        <v>25</v>
      </c>
      <c r="S768" s="268"/>
      <c r="T768" s="269"/>
      <c r="U768" s="326" t="s">
        <v>20</v>
      </c>
      <c r="V768" s="200" t="s">
        <v>153</v>
      </c>
      <c r="W768" s="201"/>
      <c r="X768" s="200" t="s">
        <v>154</v>
      </c>
      <c r="Y768" s="201"/>
      <c r="Z768" s="200" t="s">
        <v>155</v>
      </c>
      <c r="AA768" s="201"/>
    </row>
    <row r="769" spans="1:27" ht="25.5" customHeight="1" thickBot="1">
      <c r="A769" s="4"/>
      <c r="B769" s="309"/>
      <c r="C769" s="310"/>
      <c r="D769" s="310"/>
      <c r="E769" s="310"/>
      <c r="F769" s="311"/>
      <c r="G769" s="319"/>
      <c r="H769" s="320"/>
      <c r="I769" s="109" t="s">
        <v>26</v>
      </c>
      <c r="J769" s="111" t="s">
        <v>27</v>
      </c>
      <c r="K769" s="111" t="s">
        <v>28</v>
      </c>
      <c r="L769" s="109" t="s">
        <v>26</v>
      </c>
      <c r="M769" s="111" t="s">
        <v>27</v>
      </c>
      <c r="N769" s="110" t="s">
        <v>28</v>
      </c>
      <c r="O769" s="19" t="s">
        <v>26</v>
      </c>
      <c r="P769" s="109" t="s">
        <v>27</v>
      </c>
      <c r="Q769" s="20" t="s">
        <v>28</v>
      </c>
      <c r="R769" s="21" t="s">
        <v>26</v>
      </c>
      <c r="S769" s="108" t="s">
        <v>27</v>
      </c>
      <c r="T769" s="111" t="s">
        <v>28</v>
      </c>
      <c r="U769" s="327"/>
      <c r="V769" s="202"/>
      <c r="W769" s="203"/>
      <c r="X769" s="202"/>
      <c r="Y769" s="203"/>
      <c r="Z769" s="202"/>
      <c r="AA769" s="203"/>
    </row>
    <row r="770" spans="1:27" ht="15.75" thickBot="1">
      <c r="A770" s="4"/>
      <c r="B770" s="302" t="s">
        <v>29</v>
      </c>
      <c r="C770" s="303"/>
      <c r="D770" s="303"/>
      <c r="E770" s="303"/>
      <c r="F770" s="303"/>
      <c r="G770" s="303"/>
      <c r="H770" s="303"/>
      <c r="I770" s="303"/>
      <c r="J770" s="303"/>
      <c r="K770" s="303"/>
      <c r="L770" s="303"/>
      <c r="M770" s="303"/>
      <c r="N770" s="303"/>
      <c r="O770" s="303"/>
      <c r="P770" s="303"/>
      <c r="Q770" s="303"/>
      <c r="R770" s="303"/>
      <c r="S770" s="303"/>
      <c r="T770" s="303"/>
      <c r="U770" s="304"/>
    </row>
    <row r="771" spans="1:27" s="40" customFormat="1" ht="15.75" customHeight="1">
      <c r="A771" s="152"/>
      <c r="B771" s="287" t="s">
        <v>82</v>
      </c>
      <c r="C771" s="288"/>
      <c r="D771" s="288"/>
      <c r="E771" s="288"/>
      <c r="F771" s="289"/>
      <c r="G771" s="290">
        <v>1908</v>
      </c>
      <c r="H771" s="305"/>
      <c r="I771" s="158">
        <v>0</v>
      </c>
      <c r="J771" s="141">
        <v>0</v>
      </c>
      <c r="K771" s="141">
        <v>0</v>
      </c>
      <c r="L771" s="141">
        <v>0</v>
      </c>
      <c r="M771" s="141">
        <v>0</v>
      </c>
      <c r="N771" s="141">
        <v>0</v>
      </c>
      <c r="O771" s="141">
        <v>1908</v>
      </c>
      <c r="P771" s="141">
        <v>0</v>
      </c>
      <c r="Q771" s="154">
        <v>0</v>
      </c>
      <c r="R771" s="141">
        <v>0</v>
      </c>
      <c r="S771" s="141">
        <v>0</v>
      </c>
      <c r="T771" s="154">
        <v>0</v>
      </c>
      <c r="U771" s="155">
        <f>R771/G771</f>
        <v>0</v>
      </c>
      <c r="V771" s="128">
        <f>+I771+O651</f>
        <v>1908</v>
      </c>
      <c r="W771" s="128">
        <f>+O771-V771</f>
        <v>0</v>
      </c>
      <c r="X771" s="128">
        <f>+L771+R651</f>
        <v>0</v>
      </c>
      <c r="Y771" s="128">
        <f>+R771-X771</f>
        <v>0</v>
      </c>
      <c r="Z771" s="195">
        <f>+X771/G771</f>
        <v>0</v>
      </c>
      <c r="AA771" s="194">
        <f>+U771-Z771</f>
        <v>0</v>
      </c>
    </row>
    <row r="772" spans="1:27" s="40" customFormat="1">
      <c r="A772" s="152"/>
      <c r="B772" s="274" t="s">
        <v>83</v>
      </c>
      <c r="C772" s="275"/>
      <c r="D772" s="275"/>
      <c r="E772" s="275"/>
      <c r="F772" s="276"/>
      <c r="G772" s="277">
        <v>9000</v>
      </c>
      <c r="H772" s="292"/>
      <c r="I772" s="142">
        <v>3000</v>
      </c>
      <c r="J772" s="117">
        <v>0</v>
      </c>
      <c r="K772" s="117">
        <v>0</v>
      </c>
      <c r="L772" s="117">
        <v>4242.3999999999996</v>
      </c>
      <c r="M772" s="117">
        <v>0</v>
      </c>
      <c r="N772" s="117">
        <v>0</v>
      </c>
      <c r="O772" s="117">
        <f>3000+3000</f>
        <v>6000</v>
      </c>
      <c r="P772" s="117">
        <v>0</v>
      </c>
      <c r="Q772" s="117">
        <v>0</v>
      </c>
      <c r="R772" s="117">
        <f>0+4242.4</f>
        <v>4242.3999999999996</v>
      </c>
      <c r="S772" s="117">
        <v>0</v>
      </c>
      <c r="T772" s="117">
        <v>0</v>
      </c>
      <c r="U772" s="153">
        <f>R772/G772</f>
        <v>0.47137777777777773</v>
      </c>
      <c r="V772" s="128">
        <f t="shared" ref="V772:V791" si="215">+I772+O652</f>
        <v>6000</v>
      </c>
      <c r="W772" s="128">
        <f t="shared" ref="W772:W791" si="216">+O772-V772</f>
        <v>0</v>
      </c>
      <c r="X772" s="128">
        <f t="shared" ref="X772:X791" si="217">+L772+R652</f>
        <v>4242.3999999999996</v>
      </c>
      <c r="Y772" s="128">
        <f t="shared" ref="Y772:Y791" si="218">+R772-X772</f>
        <v>0</v>
      </c>
      <c r="Z772" s="195">
        <f t="shared" ref="Z772:Z791" si="219">+X772/G772</f>
        <v>0.47137777777777773</v>
      </c>
      <c r="AA772" s="194">
        <f t="shared" ref="AA772:AA791" si="220">+U772-Z772</f>
        <v>0</v>
      </c>
    </row>
    <row r="773" spans="1:27" s="40" customFormat="1">
      <c r="A773" s="166"/>
      <c r="B773" s="274" t="s">
        <v>84</v>
      </c>
      <c r="C773" s="275"/>
      <c r="D773" s="275"/>
      <c r="E773" s="275"/>
      <c r="F773" s="276"/>
      <c r="G773" s="277">
        <v>15000</v>
      </c>
      <c r="H773" s="292"/>
      <c r="I773" s="142">
        <v>0</v>
      </c>
      <c r="J773" s="117">
        <v>0</v>
      </c>
      <c r="K773" s="117">
        <v>0</v>
      </c>
      <c r="L773" s="117">
        <v>0</v>
      </c>
      <c r="M773" s="117">
        <v>0</v>
      </c>
      <c r="N773" s="117">
        <v>0</v>
      </c>
      <c r="O773" s="117">
        <v>15000</v>
      </c>
      <c r="P773" s="117">
        <v>0</v>
      </c>
      <c r="Q773" s="117">
        <v>0</v>
      </c>
      <c r="R773" s="117">
        <v>0</v>
      </c>
      <c r="S773" s="117">
        <v>0</v>
      </c>
      <c r="T773" s="117">
        <v>0</v>
      </c>
      <c r="U773" s="153">
        <f>R773/G773</f>
        <v>0</v>
      </c>
      <c r="V773" s="128">
        <f t="shared" si="215"/>
        <v>15000</v>
      </c>
      <c r="W773" s="128">
        <f t="shared" si="216"/>
        <v>0</v>
      </c>
      <c r="X773" s="128">
        <f t="shared" si="217"/>
        <v>0</v>
      </c>
      <c r="Y773" s="128">
        <f t="shared" si="218"/>
        <v>0</v>
      </c>
      <c r="Z773" s="195">
        <f t="shared" si="219"/>
        <v>0</v>
      </c>
      <c r="AA773" s="194">
        <f t="shared" si="220"/>
        <v>0</v>
      </c>
    </row>
    <row r="774" spans="1:27" s="40" customFormat="1">
      <c r="A774" s="152"/>
      <c r="B774" s="274" t="s">
        <v>85</v>
      </c>
      <c r="C774" s="275"/>
      <c r="D774" s="275"/>
      <c r="E774" s="275"/>
      <c r="F774" s="276"/>
      <c r="G774" s="277">
        <v>2000</v>
      </c>
      <c r="H774" s="292"/>
      <c r="I774" s="142">
        <v>0</v>
      </c>
      <c r="J774" s="117">
        <v>0</v>
      </c>
      <c r="K774" s="117">
        <v>0</v>
      </c>
      <c r="L774" s="117">
        <v>0</v>
      </c>
      <c r="M774" s="117">
        <v>0</v>
      </c>
      <c r="N774" s="117">
        <v>0</v>
      </c>
      <c r="O774" s="117">
        <v>2000</v>
      </c>
      <c r="P774" s="117">
        <v>0</v>
      </c>
      <c r="Q774" s="117">
        <v>0</v>
      </c>
      <c r="R774" s="117">
        <v>0</v>
      </c>
      <c r="S774" s="117">
        <v>0</v>
      </c>
      <c r="T774" s="117">
        <v>0</v>
      </c>
      <c r="U774" s="153">
        <f>R774/G774</f>
        <v>0</v>
      </c>
      <c r="V774" s="128">
        <f t="shared" si="215"/>
        <v>2000</v>
      </c>
      <c r="W774" s="128">
        <f t="shared" si="216"/>
        <v>0</v>
      </c>
      <c r="X774" s="128">
        <f t="shared" si="217"/>
        <v>0</v>
      </c>
      <c r="Y774" s="128">
        <f t="shared" si="218"/>
        <v>0</v>
      </c>
      <c r="Z774" s="195">
        <f t="shared" si="219"/>
        <v>0</v>
      </c>
      <c r="AA774" s="194">
        <f t="shared" si="220"/>
        <v>0</v>
      </c>
    </row>
    <row r="775" spans="1:27" s="40" customFormat="1">
      <c r="A775" s="152"/>
      <c r="B775" s="274" t="s">
        <v>119</v>
      </c>
      <c r="C775" s="275"/>
      <c r="D775" s="275"/>
      <c r="E775" s="275"/>
      <c r="F775" s="276"/>
      <c r="G775" s="277">
        <v>198000</v>
      </c>
      <c r="H775" s="292"/>
      <c r="I775" s="142">
        <v>16500</v>
      </c>
      <c r="J775" s="117">
        <v>0</v>
      </c>
      <c r="K775" s="117">
        <v>0</v>
      </c>
      <c r="L775" s="117">
        <v>64350.400000000001</v>
      </c>
      <c r="M775" s="117">
        <v>0</v>
      </c>
      <c r="N775" s="117">
        <v>0</v>
      </c>
      <c r="O775" s="117">
        <f>16500+16500+16500+16500+16500+16500+16500</f>
        <v>115500</v>
      </c>
      <c r="P775" s="117">
        <v>0</v>
      </c>
      <c r="Q775" s="117">
        <v>0</v>
      </c>
      <c r="R775" s="117">
        <f>0+0+0+5000+2500+5000+64350.4</f>
        <v>76850.399999999994</v>
      </c>
      <c r="S775" s="117">
        <v>0</v>
      </c>
      <c r="T775" s="117">
        <v>0</v>
      </c>
      <c r="U775" s="153">
        <f>R775/G775</f>
        <v>0.38813333333333333</v>
      </c>
      <c r="V775" s="128">
        <f t="shared" si="215"/>
        <v>115500</v>
      </c>
      <c r="W775" s="128">
        <f t="shared" si="216"/>
        <v>0</v>
      </c>
      <c r="X775" s="128">
        <f t="shared" si="217"/>
        <v>76850.399999999994</v>
      </c>
      <c r="Y775" s="128">
        <f t="shared" si="218"/>
        <v>0</v>
      </c>
      <c r="Z775" s="195">
        <f t="shared" si="219"/>
        <v>0.38813333333333333</v>
      </c>
      <c r="AA775" s="194">
        <f t="shared" si="220"/>
        <v>0</v>
      </c>
    </row>
    <row r="776" spans="1:27" s="40" customFormat="1">
      <c r="A776" s="152"/>
      <c r="B776" s="274" t="s">
        <v>130</v>
      </c>
      <c r="C776" s="275"/>
      <c r="D776" s="275"/>
      <c r="E776" s="275"/>
      <c r="F776" s="276"/>
      <c r="G776" s="277">
        <v>13000</v>
      </c>
      <c r="H776" s="292"/>
      <c r="I776" s="142">
        <v>0</v>
      </c>
      <c r="J776" s="117">
        <v>0</v>
      </c>
      <c r="K776" s="117">
        <v>0</v>
      </c>
      <c r="L776" s="117">
        <v>0</v>
      </c>
      <c r="M776" s="117">
        <v>0</v>
      </c>
      <c r="N776" s="117">
        <v>0</v>
      </c>
      <c r="O776" s="117">
        <v>0</v>
      </c>
      <c r="P776" s="117">
        <v>0</v>
      </c>
      <c r="Q776" s="117">
        <v>0</v>
      </c>
      <c r="R776" s="117">
        <v>0</v>
      </c>
      <c r="S776" s="117">
        <v>0</v>
      </c>
      <c r="T776" s="117">
        <v>0</v>
      </c>
      <c r="U776" s="153">
        <f t="shared" ref="U776:U785" si="221">R776/G776</f>
        <v>0</v>
      </c>
      <c r="V776" s="128">
        <f t="shared" si="215"/>
        <v>0</v>
      </c>
      <c r="W776" s="128">
        <f t="shared" si="216"/>
        <v>0</v>
      </c>
      <c r="X776" s="128">
        <f t="shared" si="217"/>
        <v>0</v>
      </c>
      <c r="Y776" s="128">
        <f t="shared" si="218"/>
        <v>0</v>
      </c>
      <c r="Z776" s="195">
        <f t="shared" si="219"/>
        <v>0</v>
      </c>
      <c r="AA776" s="194">
        <f t="shared" si="220"/>
        <v>0</v>
      </c>
    </row>
    <row r="777" spans="1:27" s="40" customFormat="1">
      <c r="A777" s="152"/>
      <c r="B777" s="274" t="s">
        <v>86</v>
      </c>
      <c r="C777" s="275"/>
      <c r="D777" s="275"/>
      <c r="E777" s="275"/>
      <c r="F777" s="276"/>
      <c r="G777" s="277">
        <v>30000</v>
      </c>
      <c r="H777" s="292"/>
      <c r="I777" s="142">
        <v>0</v>
      </c>
      <c r="J777" s="117">
        <v>0</v>
      </c>
      <c r="K777" s="117">
        <v>0</v>
      </c>
      <c r="L777" s="117">
        <v>0</v>
      </c>
      <c r="M777" s="117">
        <v>0</v>
      </c>
      <c r="N777" s="117">
        <v>0</v>
      </c>
      <c r="O777" s="117">
        <f>30000</f>
        <v>30000</v>
      </c>
      <c r="P777" s="117">
        <v>0</v>
      </c>
      <c r="Q777" s="117">
        <v>0</v>
      </c>
      <c r="R777" s="117">
        <f>0+0+0+0</f>
        <v>0</v>
      </c>
      <c r="S777" s="117">
        <v>0</v>
      </c>
      <c r="T777" s="117">
        <v>0</v>
      </c>
      <c r="U777" s="153">
        <f t="shared" si="221"/>
        <v>0</v>
      </c>
      <c r="V777" s="128">
        <f t="shared" si="215"/>
        <v>30000</v>
      </c>
      <c r="W777" s="128">
        <f t="shared" si="216"/>
        <v>0</v>
      </c>
      <c r="X777" s="128">
        <f t="shared" si="217"/>
        <v>0</v>
      </c>
      <c r="Y777" s="128">
        <f t="shared" si="218"/>
        <v>0</v>
      </c>
      <c r="Z777" s="195">
        <f t="shared" si="219"/>
        <v>0</v>
      </c>
      <c r="AA777" s="194">
        <f t="shared" si="220"/>
        <v>0</v>
      </c>
    </row>
    <row r="778" spans="1:27" s="40" customFormat="1">
      <c r="A778" s="152"/>
      <c r="B778" s="274" t="s">
        <v>88</v>
      </c>
      <c r="C778" s="275"/>
      <c r="D778" s="275"/>
      <c r="E778" s="275"/>
      <c r="F778" s="276"/>
      <c r="G778" s="277">
        <v>5800</v>
      </c>
      <c r="H778" s="292"/>
      <c r="I778" s="142">
        <v>0</v>
      </c>
      <c r="J778" s="117">
        <v>0</v>
      </c>
      <c r="K778" s="117">
        <v>0</v>
      </c>
      <c r="L778" s="117">
        <v>5800</v>
      </c>
      <c r="M778" s="117">
        <v>0</v>
      </c>
      <c r="N778" s="117">
        <v>0</v>
      </c>
      <c r="O778" s="117">
        <f>2900</f>
        <v>2900</v>
      </c>
      <c r="P778" s="117">
        <v>0</v>
      </c>
      <c r="Q778" s="117">
        <v>0</v>
      </c>
      <c r="R778" s="117">
        <v>5800</v>
      </c>
      <c r="S778" s="117">
        <v>0</v>
      </c>
      <c r="T778" s="117">
        <v>0</v>
      </c>
      <c r="U778" s="153">
        <f t="shared" si="221"/>
        <v>1</v>
      </c>
      <c r="V778" s="128">
        <f t="shared" si="215"/>
        <v>2900</v>
      </c>
      <c r="W778" s="128">
        <f t="shared" si="216"/>
        <v>0</v>
      </c>
      <c r="X778" s="128">
        <f t="shared" si="217"/>
        <v>5800</v>
      </c>
      <c r="Y778" s="128">
        <f t="shared" si="218"/>
        <v>0</v>
      </c>
      <c r="Z778" s="195">
        <f t="shared" si="219"/>
        <v>1</v>
      </c>
      <c r="AA778" s="194">
        <f t="shared" si="220"/>
        <v>0</v>
      </c>
    </row>
    <row r="779" spans="1:27" s="40" customFormat="1">
      <c r="A779" s="152"/>
      <c r="B779" s="274" t="s">
        <v>131</v>
      </c>
      <c r="C779" s="275"/>
      <c r="D779" s="275"/>
      <c r="E779" s="275"/>
      <c r="F779" s="276"/>
      <c r="G779" s="277">
        <v>40000</v>
      </c>
      <c r="H779" s="292"/>
      <c r="I779" s="142">
        <v>8000</v>
      </c>
      <c r="J779" s="117">
        <v>0</v>
      </c>
      <c r="K779" s="117">
        <v>0</v>
      </c>
      <c r="L779" s="117">
        <v>4176</v>
      </c>
      <c r="M779" s="117">
        <v>0</v>
      </c>
      <c r="N779" s="117">
        <v>0</v>
      </c>
      <c r="O779" s="117">
        <f>8000+8000</f>
        <v>16000</v>
      </c>
      <c r="P779" s="117">
        <v>0</v>
      </c>
      <c r="Q779" s="117">
        <v>0</v>
      </c>
      <c r="R779" s="117">
        <f>0+0+0+0+0+0+4176</f>
        <v>4176</v>
      </c>
      <c r="S779" s="117">
        <v>0</v>
      </c>
      <c r="T779" s="117">
        <v>0</v>
      </c>
      <c r="U779" s="153">
        <f t="shared" si="221"/>
        <v>0.10440000000000001</v>
      </c>
      <c r="V779" s="128">
        <f t="shared" si="215"/>
        <v>16000</v>
      </c>
      <c r="W779" s="128">
        <f t="shared" si="216"/>
        <v>0</v>
      </c>
      <c r="X779" s="128">
        <f t="shared" si="217"/>
        <v>4176</v>
      </c>
      <c r="Y779" s="128">
        <f t="shared" si="218"/>
        <v>0</v>
      </c>
      <c r="Z779" s="195">
        <f t="shared" si="219"/>
        <v>0.10440000000000001</v>
      </c>
      <c r="AA779" s="194">
        <f t="shared" si="220"/>
        <v>0</v>
      </c>
    </row>
    <row r="780" spans="1:27" s="40" customFormat="1">
      <c r="A780" s="152"/>
      <c r="B780" s="274" t="s">
        <v>87</v>
      </c>
      <c r="C780" s="275"/>
      <c r="D780" s="275"/>
      <c r="E780" s="275"/>
      <c r="F780" s="276"/>
      <c r="G780" s="277">
        <v>9000</v>
      </c>
      <c r="H780" s="292"/>
      <c r="I780" s="142">
        <v>3000</v>
      </c>
      <c r="J780" s="117">
        <v>0</v>
      </c>
      <c r="K780" s="117">
        <v>0</v>
      </c>
      <c r="L780" s="117">
        <v>3379.08</v>
      </c>
      <c r="M780" s="117">
        <v>0</v>
      </c>
      <c r="N780" s="117">
        <v>0</v>
      </c>
      <c r="O780" s="117">
        <f>3000+3000</f>
        <v>6000</v>
      </c>
      <c r="P780" s="117">
        <v>0</v>
      </c>
      <c r="Q780" s="117">
        <v>0</v>
      </c>
      <c r="R780" s="117">
        <f>0+3379.08</f>
        <v>3379.08</v>
      </c>
      <c r="S780" s="117">
        <v>0</v>
      </c>
      <c r="T780" s="117">
        <v>0</v>
      </c>
      <c r="U780" s="153">
        <f t="shared" si="221"/>
        <v>0.37545333333333331</v>
      </c>
      <c r="V780" s="128">
        <f t="shared" si="215"/>
        <v>6000</v>
      </c>
      <c r="W780" s="128">
        <f t="shared" si="216"/>
        <v>0</v>
      </c>
      <c r="X780" s="128">
        <f t="shared" si="217"/>
        <v>3379.08</v>
      </c>
      <c r="Y780" s="128">
        <f t="shared" si="218"/>
        <v>0</v>
      </c>
      <c r="Z780" s="195">
        <f t="shared" si="219"/>
        <v>0.37545333333333331</v>
      </c>
      <c r="AA780" s="194">
        <f t="shared" si="220"/>
        <v>0</v>
      </c>
    </row>
    <row r="781" spans="1:27" s="40" customFormat="1">
      <c r="A781" s="152"/>
      <c r="B781" s="274" t="s">
        <v>89</v>
      </c>
      <c r="C781" s="275"/>
      <c r="D781" s="275"/>
      <c r="E781" s="275"/>
      <c r="F781" s="276"/>
      <c r="G781" s="277">
        <v>8000</v>
      </c>
      <c r="H781" s="292"/>
      <c r="I781" s="142">
        <v>0</v>
      </c>
      <c r="J781" s="117">
        <v>0</v>
      </c>
      <c r="K781" s="117">
        <v>0</v>
      </c>
      <c r="L781" s="117">
        <v>0</v>
      </c>
      <c r="M781" s="117">
        <v>0</v>
      </c>
      <c r="N781" s="117">
        <v>0</v>
      </c>
      <c r="O781" s="117">
        <v>8000</v>
      </c>
      <c r="P781" s="117">
        <v>0</v>
      </c>
      <c r="Q781" s="117">
        <v>0</v>
      </c>
      <c r="R781" s="117">
        <f>0+0+0+0</f>
        <v>0</v>
      </c>
      <c r="S781" s="117">
        <v>0</v>
      </c>
      <c r="T781" s="117">
        <v>0</v>
      </c>
      <c r="U781" s="153">
        <f t="shared" si="221"/>
        <v>0</v>
      </c>
      <c r="V781" s="128">
        <f t="shared" si="215"/>
        <v>8000</v>
      </c>
      <c r="W781" s="128">
        <f t="shared" si="216"/>
        <v>0</v>
      </c>
      <c r="X781" s="128">
        <f t="shared" si="217"/>
        <v>0</v>
      </c>
      <c r="Y781" s="128">
        <f t="shared" si="218"/>
        <v>0</v>
      </c>
      <c r="Z781" s="195">
        <f t="shared" si="219"/>
        <v>0</v>
      </c>
      <c r="AA781" s="194">
        <f t="shared" si="220"/>
        <v>0</v>
      </c>
    </row>
    <row r="782" spans="1:27" s="40" customFormat="1">
      <c r="A782" s="152"/>
      <c r="B782" s="274" t="s">
        <v>90</v>
      </c>
      <c r="C782" s="275"/>
      <c r="D782" s="275"/>
      <c r="E782" s="275"/>
      <c r="F782" s="276"/>
      <c r="G782" s="277">
        <v>9000</v>
      </c>
      <c r="H782" s="292"/>
      <c r="I782" s="142">
        <v>3000</v>
      </c>
      <c r="J782" s="117">
        <v>0</v>
      </c>
      <c r="K782" s="117">
        <v>0</v>
      </c>
      <c r="L782" s="117">
        <v>0</v>
      </c>
      <c r="M782" s="117">
        <v>0</v>
      </c>
      <c r="N782" s="117">
        <v>0</v>
      </c>
      <c r="O782" s="117">
        <f>3000+3000</f>
        <v>6000</v>
      </c>
      <c r="P782" s="117">
        <v>0</v>
      </c>
      <c r="Q782" s="117">
        <v>0</v>
      </c>
      <c r="R782" s="117">
        <f>0+0+0+0</f>
        <v>0</v>
      </c>
      <c r="S782" s="117">
        <v>0</v>
      </c>
      <c r="T782" s="117">
        <v>0</v>
      </c>
      <c r="U782" s="153">
        <f t="shared" si="221"/>
        <v>0</v>
      </c>
      <c r="V782" s="128">
        <f t="shared" si="215"/>
        <v>6000</v>
      </c>
      <c r="W782" s="128">
        <f t="shared" si="216"/>
        <v>0</v>
      </c>
      <c r="X782" s="128">
        <f t="shared" si="217"/>
        <v>0</v>
      </c>
      <c r="Y782" s="128">
        <f t="shared" si="218"/>
        <v>0</v>
      </c>
      <c r="Z782" s="195">
        <f t="shared" si="219"/>
        <v>0</v>
      </c>
      <c r="AA782" s="194">
        <f t="shared" si="220"/>
        <v>0</v>
      </c>
    </row>
    <row r="783" spans="1:27" s="40" customFormat="1">
      <c r="A783" s="152"/>
      <c r="B783" s="274" t="s">
        <v>64</v>
      </c>
      <c r="C783" s="275"/>
      <c r="D783" s="275"/>
      <c r="E783" s="275"/>
      <c r="F783" s="276"/>
      <c r="G783" s="277">
        <v>3750</v>
      </c>
      <c r="H783" s="292"/>
      <c r="I783" s="142">
        <v>0</v>
      </c>
      <c r="J783" s="117">
        <v>0</v>
      </c>
      <c r="K783" s="117">
        <v>0</v>
      </c>
      <c r="L783" s="117">
        <v>622</v>
      </c>
      <c r="M783" s="117">
        <v>0</v>
      </c>
      <c r="N783" s="117">
        <v>0</v>
      </c>
      <c r="O783" s="117">
        <f>1250</f>
        <v>1250</v>
      </c>
      <c r="P783" s="117">
        <v>0</v>
      </c>
      <c r="Q783" s="117">
        <v>0</v>
      </c>
      <c r="R783" s="117">
        <v>622</v>
      </c>
      <c r="S783" s="117">
        <v>0</v>
      </c>
      <c r="T783" s="117">
        <v>0</v>
      </c>
      <c r="U783" s="153">
        <f t="shared" si="221"/>
        <v>0.16586666666666666</v>
      </c>
      <c r="V783" s="128">
        <f t="shared" si="215"/>
        <v>1250</v>
      </c>
      <c r="W783" s="128">
        <f t="shared" si="216"/>
        <v>0</v>
      </c>
      <c r="X783" s="128">
        <f t="shared" si="217"/>
        <v>622</v>
      </c>
      <c r="Y783" s="128">
        <f t="shared" si="218"/>
        <v>0</v>
      </c>
      <c r="Z783" s="195">
        <f t="shared" si="219"/>
        <v>0.16586666666666666</v>
      </c>
      <c r="AA783" s="194">
        <f t="shared" si="220"/>
        <v>0</v>
      </c>
    </row>
    <row r="784" spans="1:27" s="40" customFormat="1">
      <c r="A784" s="152"/>
      <c r="B784" s="274" t="s">
        <v>91</v>
      </c>
      <c r="C784" s="275"/>
      <c r="D784" s="275"/>
      <c r="E784" s="275"/>
      <c r="F784" s="276"/>
      <c r="G784" s="277">
        <v>6000</v>
      </c>
      <c r="H784" s="292"/>
      <c r="I784" s="142">
        <v>0</v>
      </c>
      <c r="J784" s="117">
        <v>0</v>
      </c>
      <c r="K784" s="117">
        <v>0</v>
      </c>
      <c r="L784" s="117">
        <v>0</v>
      </c>
      <c r="M784" s="117">
        <v>0</v>
      </c>
      <c r="N784" s="117">
        <v>0</v>
      </c>
      <c r="O784" s="117">
        <f>6000</f>
        <v>6000</v>
      </c>
      <c r="P784" s="117">
        <v>0</v>
      </c>
      <c r="Q784" s="117">
        <v>0</v>
      </c>
      <c r="R784" s="117">
        <f>0+0+0+0</f>
        <v>0</v>
      </c>
      <c r="S784" s="117">
        <v>0</v>
      </c>
      <c r="T784" s="117">
        <v>0</v>
      </c>
      <c r="U784" s="153">
        <f t="shared" si="221"/>
        <v>0</v>
      </c>
      <c r="V784" s="128">
        <f t="shared" si="215"/>
        <v>6000</v>
      </c>
      <c r="W784" s="128">
        <f t="shared" si="216"/>
        <v>0</v>
      </c>
      <c r="X784" s="128">
        <f t="shared" si="217"/>
        <v>0</v>
      </c>
      <c r="Y784" s="128">
        <f t="shared" si="218"/>
        <v>0</v>
      </c>
      <c r="Z784" s="195">
        <f t="shared" si="219"/>
        <v>0</v>
      </c>
      <c r="AA784" s="194">
        <f t="shared" si="220"/>
        <v>0</v>
      </c>
    </row>
    <row r="785" spans="1:27" s="40" customFormat="1">
      <c r="A785" s="152"/>
      <c r="B785" s="274" t="s">
        <v>81</v>
      </c>
      <c r="C785" s="275"/>
      <c r="D785" s="275"/>
      <c r="E785" s="275"/>
      <c r="F785" s="276"/>
      <c r="G785" s="277">
        <v>195000</v>
      </c>
      <c r="H785" s="292"/>
      <c r="I785" s="142">
        <v>13000</v>
      </c>
      <c r="J785" s="117">
        <v>0</v>
      </c>
      <c r="K785" s="117">
        <v>0</v>
      </c>
      <c r="L785" s="117">
        <v>9596.7099999999991</v>
      </c>
      <c r="M785" s="117">
        <v>0</v>
      </c>
      <c r="N785" s="117">
        <v>0</v>
      </c>
      <c r="O785" s="117">
        <f>26000+26000+26000+13000+13000+13000+13000</f>
        <v>130000</v>
      </c>
      <c r="P785" s="117">
        <v>0</v>
      </c>
      <c r="Q785" s="117">
        <v>0</v>
      </c>
      <c r="R785" s="117">
        <f>23416.71+27887.03+23419.61+15279.25+11463.61+13780.18+9596.71</f>
        <v>124843.1</v>
      </c>
      <c r="S785" s="117">
        <v>0</v>
      </c>
      <c r="T785" s="117">
        <v>0</v>
      </c>
      <c r="U785" s="153">
        <f t="shared" si="221"/>
        <v>0.64022102564102568</v>
      </c>
      <c r="V785" s="128">
        <f t="shared" si="215"/>
        <v>130000</v>
      </c>
      <c r="W785" s="128">
        <f t="shared" si="216"/>
        <v>0</v>
      </c>
      <c r="X785" s="128">
        <f t="shared" si="217"/>
        <v>124843.1</v>
      </c>
      <c r="Y785" s="128">
        <f t="shared" si="218"/>
        <v>0</v>
      </c>
      <c r="Z785" s="195">
        <f t="shared" si="219"/>
        <v>0.64022102564102568</v>
      </c>
      <c r="AA785" s="194">
        <f t="shared" si="220"/>
        <v>0</v>
      </c>
    </row>
    <row r="786" spans="1:27" s="40" customFormat="1" ht="15" customHeight="1">
      <c r="A786" s="152"/>
      <c r="B786" s="274" t="s">
        <v>132</v>
      </c>
      <c r="C786" s="275"/>
      <c r="D786" s="275"/>
      <c r="E786" s="275"/>
      <c r="F786" s="276"/>
      <c r="G786" s="277">
        <v>1900</v>
      </c>
      <c r="H786" s="292"/>
      <c r="I786" s="142">
        <v>0</v>
      </c>
      <c r="J786" s="117">
        <v>0</v>
      </c>
      <c r="K786" s="117">
        <v>0</v>
      </c>
      <c r="L786" s="117">
        <v>0</v>
      </c>
      <c r="M786" s="117">
        <v>0</v>
      </c>
      <c r="N786" s="117">
        <v>0</v>
      </c>
      <c r="O786" s="117">
        <v>1900</v>
      </c>
      <c r="P786" s="117">
        <v>0</v>
      </c>
      <c r="Q786" s="117">
        <v>0</v>
      </c>
      <c r="R786" s="117">
        <f>0+1893.11</f>
        <v>1893.11</v>
      </c>
      <c r="S786" s="117">
        <v>0</v>
      </c>
      <c r="T786" s="117">
        <v>0</v>
      </c>
      <c r="U786" s="153">
        <f>R786/G786</f>
        <v>0.9963736842105263</v>
      </c>
      <c r="V786" s="128">
        <f t="shared" si="215"/>
        <v>1900</v>
      </c>
      <c r="W786" s="128">
        <f t="shared" si="216"/>
        <v>0</v>
      </c>
      <c r="X786" s="128">
        <f t="shared" si="217"/>
        <v>1893.11</v>
      </c>
      <c r="Y786" s="128">
        <f t="shared" si="218"/>
        <v>0</v>
      </c>
      <c r="Z786" s="195">
        <f t="shared" si="219"/>
        <v>0.9963736842105263</v>
      </c>
      <c r="AA786" s="194">
        <f t="shared" si="220"/>
        <v>0</v>
      </c>
    </row>
    <row r="787" spans="1:27" s="40" customFormat="1" ht="15" customHeight="1">
      <c r="A787" s="152"/>
      <c r="B787" s="274" t="s">
        <v>133</v>
      </c>
      <c r="C787" s="275"/>
      <c r="D787" s="275"/>
      <c r="E787" s="275"/>
      <c r="F787" s="276"/>
      <c r="G787" s="277">
        <v>20000</v>
      </c>
      <c r="H787" s="292"/>
      <c r="I787" s="142">
        <v>0</v>
      </c>
      <c r="J787" s="116">
        <v>0</v>
      </c>
      <c r="K787" s="116">
        <v>0</v>
      </c>
      <c r="L787" s="116">
        <v>0</v>
      </c>
      <c r="M787" s="116">
        <v>0</v>
      </c>
      <c r="N787" s="116">
        <v>0</v>
      </c>
      <c r="O787" s="116">
        <v>0</v>
      </c>
      <c r="P787" s="116">
        <v>0</v>
      </c>
      <c r="Q787" s="116">
        <v>0</v>
      </c>
      <c r="R787" s="116">
        <v>0</v>
      </c>
      <c r="S787" s="116">
        <v>0</v>
      </c>
      <c r="T787" s="116">
        <v>0</v>
      </c>
      <c r="U787" s="156">
        <f>R787/G787</f>
        <v>0</v>
      </c>
      <c r="V787" s="128">
        <f t="shared" si="215"/>
        <v>0</v>
      </c>
      <c r="W787" s="128">
        <f t="shared" si="216"/>
        <v>0</v>
      </c>
      <c r="X787" s="128">
        <f t="shared" si="217"/>
        <v>0</v>
      </c>
      <c r="Y787" s="128">
        <f t="shared" si="218"/>
        <v>0</v>
      </c>
      <c r="Z787" s="195">
        <f t="shared" si="219"/>
        <v>0</v>
      </c>
      <c r="AA787" s="194">
        <f t="shared" si="220"/>
        <v>0</v>
      </c>
    </row>
    <row r="788" spans="1:27" s="40" customFormat="1" ht="15" customHeight="1">
      <c r="A788" s="152"/>
      <c r="B788" s="274" t="s">
        <v>134</v>
      </c>
      <c r="C788" s="275"/>
      <c r="D788" s="275"/>
      <c r="E788" s="275"/>
      <c r="F788" s="276"/>
      <c r="G788" s="277">
        <v>7200</v>
      </c>
      <c r="H788" s="292"/>
      <c r="I788" s="142">
        <v>0</v>
      </c>
      <c r="J788" s="116">
        <v>0</v>
      </c>
      <c r="K788" s="116">
        <v>0</v>
      </c>
      <c r="L788" s="116">
        <v>0</v>
      </c>
      <c r="M788" s="116">
        <v>0</v>
      </c>
      <c r="N788" s="116">
        <v>0</v>
      </c>
      <c r="O788" s="116">
        <f>7200</f>
        <v>7200</v>
      </c>
      <c r="P788" s="116">
        <v>0</v>
      </c>
      <c r="Q788" s="116">
        <v>0</v>
      </c>
      <c r="R788" s="116">
        <f>7200</f>
        <v>7200</v>
      </c>
      <c r="S788" s="116">
        <v>0</v>
      </c>
      <c r="T788" s="116">
        <v>0</v>
      </c>
      <c r="U788" s="156">
        <f>R788/G788</f>
        <v>1</v>
      </c>
      <c r="V788" s="128">
        <f t="shared" si="215"/>
        <v>7200</v>
      </c>
      <c r="W788" s="128">
        <f t="shared" si="216"/>
        <v>0</v>
      </c>
      <c r="X788" s="128">
        <f t="shared" si="217"/>
        <v>7200</v>
      </c>
      <c r="Y788" s="128">
        <f t="shared" si="218"/>
        <v>0</v>
      </c>
      <c r="Z788" s="195">
        <f t="shared" si="219"/>
        <v>1</v>
      </c>
      <c r="AA788" s="194">
        <f t="shared" si="220"/>
        <v>0</v>
      </c>
    </row>
    <row r="789" spans="1:27" s="40" customFormat="1" ht="15" customHeight="1">
      <c r="A789" s="152"/>
      <c r="B789" s="274" t="s">
        <v>79</v>
      </c>
      <c r="C789" s="275"/>
      <c r="D789" s="275"/>
      <c r="E789" s="275"/>
      <c r="F789" s="276"/>
      <c r="G789" s="277">
        <v>37500</v>
      </c>
      <c r="H789" s="292"/>
      <c r="I789" s="142">
        <v>0</v>
      </c>
      <c r="J789" s="116">
        <v>0</v>
      </c>
      <c r="K789" s="116">
        <v>0</v>
      </c>
      <c r="L789" s="116">
        <v>0</v>
      </c>
      <c r="M789" s="116">
        <v>0</v>
      </c>
      <c r="N789" s="116">
        <v>0</v>
      </c>
      <c r="O789" s="116">
        <v>37500</v>
      </c>
      <c r="P789" s="116">
        <v>0</v>
      </c>
      <c r="Q789" s="116">
        <v>0</v>
      </c>
      <c r="R789" s="116">
        <f>0+0+0+0</f>
        <v>0</v>
      </c>
      <c r="S789" s="116">
        <v>0</v>
      </c>
      <c r="T789" s="116">
        <v>0</v>
      </c>
      <c r="U789" s="156">
        <f t="shared" ref="U789:U790" si="222">R789/G789</f>
        <v>0</v>
      </c>
      <c r="V789" s="128">
        <f t="shared" si="215"/>
        <v>37500</v>
      </c>
      <c r="W789" s="128">
        <f t="shared" si="216"/>
        <v>0</v>
      </c>
      <c r="X789" s="128">
        <f t="shared" si="217"/>
        <v>0</v>
      </c>
      <c r="Y789" s="128">
        <f t="shared" si="218"/>
        <v>0</v>
      </c>
      <c r="Z789" s="195">
        <f t="shared" si="219"/>
        <v>0</v>
      </c>
      <c r="AA789" s="194">
        <f t="shared" si="220"/>
        <v>0</v>
      </c>
    </row>
    <row r="790" spans="1:27" s="40" customFormat="1" ht="15" customHeight="1">
      <c r="A790" s="152"/>
      <c r="B790" s="274" t="s">
        <v>92</v>
      </c>
      <c r="C790" s="275"/>
      <c r="D790" s="275"/>
      <c r="E790" s="275"/>
      <c r="F790" s="276"/>
      <c r="G790" s="277">
        <v>39600</v>
      </c>
      <c r="H790" s="292"/>
      <c r="I790" s="142">
        <v>0</v>
      </c>
      <c r="J790" s="116">
        <v>0</v>
      </c>
      <c r="K790" s="116">
        <v>0</v>
      </c>
      <c r="L790" s="116">
        <v>0</v>
      </c>
      <c r="M790" s="116">
        <v>0</v>
      </c>
      <c r="N790" s="116">
        <v>0</v>
      </c>
      <c r="O790" s="116">
        <v>39600</v>
      </c>
      <c r="P790" s="116">
        <v>0</v>
      </c>
      <c r="Q790" s="116">
        <v>0</v>
      </c>
      <c r="R790" s="116">
        <f>0+0+0+0</f>
        <v>0</v>
      </c>
      <c r="S790" s="116">
        <v>0</v>
      </c>
      <c r="T790" s="116">
        <v>0</v>
      </c>
      <c r="U790" s="156">
        <f t="shared" si="222"/>
        <v>0</v>
      </c>
      <c r="V790" s="128">
        <f t="shared" si="215"/>
        <v>39600</v>
      </c>
      <c r="W790" s="128">
        <f t="shared" si="216"/>
        <v>0</v>
      </c>
      <c r="X790" s="128">
        <f t="shared" si="217"/>
        <v>0</v>
      </c>
      <c r="Y790" s="128">
        <f t="shared" si="218"/>
        <v>0</v>
      </c>
      <c r="Z790" s="195">
        <f t="shared" si="219"/>
        <v>0</v>
      </c>
      <c r="AA790" s="194">
        <f t="shared" si="220"/>
        <v>0</v>
      </c>
    </row>
    <row r="791" spans="1:27" s="40" customFormat="1">
      <c r="A791" s="152"/>
      <c r="B791" s="274" t="s">
        <v>65</v>
      </c>
      <c r="C791" s="275"/>
      <c r="D791" s="275"/>
      <c r="E791" s="275"/>
      <c r="F791" s="276"/>
      <c r="G791" s="277">
        <v>23750</v>
      </c>
      <c r="H791" s="292"/>
      <c r="I791" s="142">
        <v>0</v>
      </c>
      <c r="J791" s="116">
        <v>0</v>
      </c>
      <c r="K791" s="116">
        <v>0</v>
      </c>
      <c r="L791" s="116">
        <v>2126.81</v>
      </c>
      <c r="M791" s="116">
        <v>0</v>
      </c>
      <c r="N791" s="116">
        <v>0</v>
      </c>
      <c r="O791" s="116">
        <f>3750</f>
        <v>3750</v>
      </c>
      <c r="P791" s="116">
        <v>0</v>
      </c>
      <c r="Q791" s="116">
        <v>0</v>
      </c>
      <c r="R791" s="116">
        <v>2126.81</v>
      </c>
      <c r="S791" s="116">
        <v>0</v>
      </c>
      <c r="T791" s="116">
        <v>0</v>
      </c>
      <c r="U791" s="156">
        <f>R791/G791</f>
        <v>8.9549894736842106E-2</v>
      </c>
      <c r="V791" s="128">
        <f t="shared" si="215"/>
        <v>3750</v>
      </c>
      <c r="W791" s="128">
        <f t="shared" si="216"/>
        <v>0</v>
      </c>
      <c r="X791" s="128">
        <f t="shared" si="217"/>
        <v>2126.81</v>
      </c>
      <c r="Y791" s="128">
        <f t="shared" si="218"/>
        <v>0</v>
      </c>
      <c r="Z791" s="195">
        <f t="shared" si="219"/>
        <v>8.9549894736842106E-2</v>
      </c>
      <c r="AA791" s="194">
        <f t="shared" si="220"/>
        <v>0</v>
      </c>
    </row>
    <row r="792" spans="1:27" ht="15.75" thickBot="1">
      <c r="A792" s="23"/>
      <c r="B792" s="453"/>
      <c r="C792" s="454"/>
      <c r="D792" s="454"/>
      <c r="E792" s="454"/>
      <c r="F792" s="455"/>
      <c r="G792" s="456"/>
      <c r="H792" s="457"/>
      <c r="I792" s="113"/>
      <c r="J792" s="26"/>
      <c r="K792" s="26"/>
      <c r="L792" s="26"/>
      <c r="M792" s="26"/>
      <c r="N792" s="26"/>
      <c r="O792" s="26"/>
      <c r="P792" s="26"/>
      <c r="Q792" s="26"/>
      <c r="R792" s="26"/>
      <c r="S792" s="26"/>
      <c r="T792" s="26"/>
      <c r="U792" s="27"/>
    </row>
    <row r="793" spans="1:27" ht="15.75" thickBot="1">
      <c r="A793" s="23"/>
      <c r="B793" s="257" t="s">
        <v>21</v>
      </c>
      <c r="C793" s="258"/>
      <c r="D793" s="258"/>
      <c r="E793" s="258"/>
      <c r="F793" s="259"/>
      <c r="G793" s="260">
        <f>SUM(G771:H792)</f>
        <v>675408</v>
      </c>
      <c r="H793" s="261"/>
      <c r="I793" s="29">
        <f>SUM(I771:I792)</f>
        <v>46500</v>
      </c>
      <c r="J793" s="29"/>
      <c r="K793" s="29"/>
      <c r="L793" s="29">
        <f>SUM(L771:L792)</f>
        <v>94293.4</v>
      </c>
      <c r="M793" s="29"/>
      <c r="N793" s="29"/>
      <c r="O793" s="29">
        <f>SUM(O771:O792)</f>
        <v>436508</v>
      </c>
      <c r="P793" s="29"/>
      <c r="Q793" s="29"/>
      <c r="R793" s="29">
        <f>SUM(R771:R792)</f>
        <v>231132.89999999997</v>
      </c>
      <c r="S793" s="29"/>
      <c r="T793" s="30"/>
      <c r="U793" s="78">
        <f>R793/G793</f>
        <v>0.34221226281003475</v>
      </c>
      <c r="V793" s="128">
        <f>+I793+O673</f>
        <v>436508</v>
      </c>
      <c r="W793" s="128">
        <f>+O793-V793</f>
        <v>0</v>
      </c>
      <c r="X793" s="128">
        <f>+L793+R673</f>
        <v>231132.9</v>
      </c>
      <c r="Y793" s="128">
        <f>+R793-X793</f>
        <v>0</v>
      </c>
      <c r="Z793" s="195">
        <f>+X793/G793</f>
        <v>0.34221226281003481</v>
      </c>
      <c r="AA793" s="194">
        <f>+U793-Z793</f>
        <v>0</v>
      </c>
    </row>
    <row r="794" spans="1:27" ht="15.75" thickBot="1">
      <c r="A794" s="23"/>
      <c r="B794" s="297"/>
      <c r="C794" s="297"/>
      <c r="D794" s="297"/>
      <c r="E794" s="297"/>
      <c r="F794" s="297"/>
      <c r="G794" s="298"/>
      <c r="H794" s="298"/>
      <c r="I794" s="113"/>
      <c r="J794" s="113"/>
      <c r="K794" s="113"/>
      <c r="L794" s="113"/>
      <c r="M794" s="113"/>
      <c r="N794" s="113"/>
      <c r="O794" s="113"/>
      <c r="P794" s="113"/>
      <c r="Q794" s="113"/>
      <c r="R794" s="113"/>
      <c r="S794" s="113"/>
      <c r="T794" s="113"/>
      <c r="U794" s="72"/>
    </row>
    <row r="795" spans="1:27" ht="15.75" thickBot="1">
      <c r="A795" s="23"/>
      <c r="B795" s="284" t="s">
        <v>30</v>
      </c>
      <c r="C795" s="285"/>
      <c r="D795" s="285"/>
      <c r="E795" s="285"/>
      <c r="F795" s="285"/>
      <c r="G795" s="285"/>
      <c r="H795" s="285"/>
      <c r="I795" s="285"/>
      <c r="J795" s="285"/>
      <c r="K795" s="285"/>
      <c r="L795" s="285"/>
      <c r="M795" s="285"/>
      <c r="N795" s="285"/>
      <c r="O795" s="285"/>
      <c r="P795" s="285"/>
      <c r="Q795" s="285"/>
      <c r="R795" s="285"/>
      <c r="S795" s="285"/>
      <c r="T795" s="285"/>
      <c r="U795" s="286"/>
    </row>
    <row r="796" spans="1:27" ht="15" customHeight="1">
      <c r="A796" s="23"/>
      <c r="B796" s="473" t="s">
        <v>80</v>
      </c>
      <c r="C796" s="474"/>
      <c r="D796" s="474"/>
      <c r="E796" s="474"/>
      <c r="F796" s="475"/>
      <c r="G796" s="471">
        <v>11500</v>
      </c>
      <c r="H796" s="472"/>
      <c r="I796" s="74">
        <v>0</v>
      </c>
      <c r="J796" s="74">
        <v>0</v>
      </c>
      <c r="K796" s="74">
        <v>0</v>
      </c>
      <c r="L796" s="74">
        <v>0</v>
      </c>
      <c r="M796" s="74">
        <v>0</v>
      </c>
      <c r="N796" s="74">
        <v>0</v>
      </c>
      <c r="O796" s="74">
        <v>0</v>
      </c>
      <c r="P796" s="74">
        <v>0</v>
      </c>
      <c r="Q796" s="74">
        <v>0</v>
      </c>
      <c r="R796" s="74">
        <v>0</v>
      </c>
      <c r="S796" s="74">
        <v>0</v>
      </c>
      <c r="T796" s="67">
        <v>0</v>
      </c>
      <c r="U796" s="75">
        <f t="shared" ref="U796:U803" si="223">R796/G796</f>
        <v>0</v>
      </c>
      <c r="V796" s="128">
        <f t="shared" ref="V796:V803" si="224">+I796+O676</f>
        <v>0</v>
      </c>
      <c r="W796" s="128">
        <f t="shared" ref="W796:W803" si="225">+O796-V796</f>
        <v>0</v>
      </c>
      <c r="X796" s="128">
        <f t="shared" ref="X796:X803" si="226">+L796+R676</f>
        <v>0</v>
      </c>
      <c r="Y796" s="128">
        <f t="shared" ref="Y796:Y803" si="227">+R796-X796</f>
        <v>0</v>
      </c>
      <c r="Z796" s="195">
        <f t="shared" ref="Z796:Z803" si="228">+X796/G796</f>
        <v>0</v>
      </c>
      <c r="AA796" s="194">
        <f t="shared" ref="AA796:AA803" si="229">+U796-Z796</f>
        <v>0</v>
      </c>
    </row>
    <row r="797" spans="1:27" s="40" customFormat="1">
      <c r="A797" s="152"/>
      <c r="B797" s="274" t="s">
        <v>124</v>
      </c>
      <c r="C797" s="275"/>
      <c r="D797" s="275"/>
      <c r="E797" s="275"/>
      <c r="F797" s="276"/>
      <c r="G797" s="277">
        <v>30000</v>
      </c>
      <c r="H797" s="278"/>
      <c r="I797" s="116">
        <v>0</v>
      </c>
      <c r="J797" s="116">
        <v>0</v>
      </c>
      <c r="K797" s="116">
        <v>0</v>
      </c>
      <c r="L797" s="116">
        <v>0</v>
      </c>
      <c r="M797" s="116">
        <v>0</v>
      </c>
      <c r="N797" s="116">
        <v>0</v>
      </c>
      <c r="O797" s="116">
        <v>0</v>
      </c>
      <c r="P797" s="116">
        <v>0</v>
      </c>
      <c r="Q797" s="116">
        <v>0</v>
      </c>
      <c r="R797" s="116">
        <v>0</v>
      </c>
      <c r="S797" s="116">
        <v>0</v>
      </c>
      <c r="T797" s="117">
        <v>0</v>
      </c>
      <c r="U797" s="153">
        <f t="shared" si="223"/>
        <v>0</v>
      </c>
      <c r="V797" s="128">
        <f t="shared" si="224"/>
        <v>0</v>
      </c>
      <c r="W797" s="128">
        <f t="shared" si="225"/>
        <v>0</v>
      </c>
      <c r="X797" s="128">
        <f t="shared" si="226"/>
        <v>0</v>
      </c>
      <c r="Y797" s="128">
        <f t="shared" si="227"/>
        <v>0</v>
      </c>
      <c r="Z797" s="195">
        <f t="shared" si="228"/>
        <v>0</v>
      </c>
      <c r="AA797" s="194">
        <f t="shared" si="229"/>
        <v>0</v>
      </c>
    </row>
    <row r="798" spans="1:27" s="40" customFormat="1" ht="15" customHeight="1">
      <c r="A798" s="152"/>
      <c r="B798" s="274" t="s">
        <v>123</v>
      </c>
      <c r="C798" s="275"/>
      <c r="D798" s="275"/>
      <c r="E798" s="275"/>
      <c r="F798" s="276"/>
      <c r="G798" s="277">
        <v>12328</v>
      </c>
      <c r="H798" s="278"/>
      <c r="I798" s="116">
        <v>0</v>
      </c>
      <c r="J798" s="116">
        <v>0</v>
      </c>
      <c r="K798" s="116">
        <v>0</v>
      </c>
      <c r="L798" s="116">
        <v>0</v>
      </c>
      <c r="M798" s="116">
        <v>0</v>
      </c>
      <c r="N798" s="116">
        <v>0</v>
      </c>
      <c r="O798" s="116">
        <v>12328</v>
      </c>
      <c r="P798" s="116">
        <v>0</v>
      </c>
      <c r="Q798" s="116">
        <v>0</v>
      </c>
      <c r="R798" s="116">
        <v>12328</v>
      </c>
      <c r="S798" s="116">
        <v>0</v>
      </c>
      <c r="T798" s="117">
        <v>0</v>
      </c>
      <c r="U798" s="153">
        <f t="shared" si="223"/>
        <v>1</v>
      </c>
      <c r="V798" s="128">
        <f t="shared" si="224"/>
        <v>12328</v>
      </c>
      <c r="W798" s="128">
        <f t="shared" si="225"/>
        <v>0</v>
      </c>
      <c r="X798" s="128">
        <f t="shared" si="226"/>
        <v>12328</v>
      </c>
      <c r="Y798" s="128">
        <f t="shared" si="227"/>
        <v>0</v>
      </c>
      <c r="Z798" s="195">
        <f t="shared" si="228"/>
        <v>1</v>
      </c>
      <c r="AA798" s="194">
        <f t="shared" si="229"/>
        <v>0</v>
      </c>
    </row>
    <row r="799" spans="1:27" s="40" customFormat="1" ht="15" customHeight="1">
      <c r="A799" s="152"/>
      <c r="B799" s="274" t="s">
        <v>66</v>
      </c>
      <c r="C799" s="275"/>
      <c r="D799" s="275"/>
      <c r="E799" s="275"/>
      <c r="F799" s="276"/>
      <c r="G799" s="277">
        <v>16000</v>
      </c>
      <c r="H799" s="278"/>
      <c r="I799" s="116">
        <v>0</v>
      </c>
      <c r="J799" s="116">
        <v>0</v>
      </c>
      <c r="K799" s="116">
        <v>0</v>
      </c>
      <c r="L799" s="116">
        <v>0</v>
      </c>
      <c r="M799" s="116">
        <v>0</v>
      </c>
      <c r="N799" s="116">
        <v>0</v>
      </c>
      <c r="O799" s="116">
        <v>16000</v>
      </c>
      <c r="P799" s="116">
        <v>0</v>
      </c>
      <c r="Q799" s="116">
        <v>0</v>
      </c>
      <c r="R799" s="116">
        <f>0+0+0+0+6710.67+9289.33</f>
        <v>16000</v>
      </c>
      <c r="S799" s="116">
        <v>0</v>
      </c>
      <c r="T799" s="117">
        <v>0</v>
      </c>
      <c r="U799" s="153">
        <f t="shared" si="223"/>
        <v>1</v>
      </c>
      <c r="V799" s="128">
        <f t="shared" si="224"/>
        <v>16000</v>
      </c>
      <c r="W799" s="128">
        <f t="shared" si="225"/>
        <v>0</v>
      </c>
      <c r="X799" s="128">
        <f t="shared" si="226"/>
        <v>16000</v>
      </c>
      <c r="Y799" s="128">
        <f t="shared" si="227"/>
        <v>0</v>
      </c>
      <c r="Z799" s="195">
        <f t="shared" si="228"/>
        <v>1</v>
      </c>
      <c r="AA799" s="194">
        <f t="shared" si="229"/>
        <v>0</v>
      </c>
    </row>
    <row r="800" spans="1:27" s="40" customFormat="1" ht="15" customHeight="1">
      <c r="A800" s="152"/>
      <c r="B800" s="274" t="s">
        <v>67</v>
      </c>
      <c r="C800" s="275"/>
      <c r="D800" s="275"/>
      <c r="E800" s="275"/>
      <c r="F800" s="276"/>
      <c r="G800" s="277">
        <v>15000</v>
      </c>
      <c r="H800" s="278"/>
      <c r="I800" s="116">
        <v>0</v>
      </c>
      <c r="J800" s="116">
        <v>0</v>
      </c>
      <c r="K800" s="116">
        <v>0</v>
      </c>
      <c r="L800" s="116">
        <v>0</v>
      </c>
      <c r="M800" s="116">
        <v>0</v>
      </c>
      <c r="N800" s="116">
        <v>0</v>
      </c>
      <c r="O800" s="116">
        <v>0</v>
      </c>
      <c r="P800" s="116">
        <v>0</v>
      </c>
      <c r="Q800" s="116">
        <v>0</v>
      </c>
      <c r="R800" s="116">
        <v>0</v>
      </c>
      <c r="S800" s="116">
        <v>0</v>
      </c>
      <c r="T800" s="117">
        <v>0</v>
      </c>
      <c r="U800" s="153">
        <f t="shared" si="223"/>
        <v>0</v>
      </c>
      <c r="V800" s="128">
        <f t="shared" si="224"/>
        <v>0</v>
      </c>
      <c r="W800" s="128">
        <f t="shared" si="225"/>
        <v>0</v>
      </c>
      <c r="X800" s="128">
        <f t="shared" si="226"/>
        <v>0</v>
      </c>
      <c r="Y800" s="128">
        <f t="shared" si="227"/>
        <v>0</v>
      </c>
      <c r="Z800" s="195">
        <f t="shared" si="228"/>
        <v>0</v>
      </c>
      <c r="AA800" s="194">
        <f t="shared" si="229"/>
        <v>0</v>
      </c>
    </row>
    <row r="801" spans="1:27" s="40" customFormat="1" ht="15" customHeight="1">
      <c r="A801" s="152"/>
      <c r="B801" s="274" t="s">
        <v>93</v>
      </c>
      <c r="C801" s="275"/>
      <c r="D801" s="275"/>
      <c r="E801" s="275"/>
      <c r="F801" s="276"/>
      <c r="G801" s="277">
        <v>12000</v>
      </c>
      <c r="H801" s="278"/>
      <c r="I801" s="116">
        <v>0</v>
      </c>
      <c r="J801" s="116">
        <v>0</v>
      </c>
      <c r="K801" s="116">
        <v>0</v>
      </c>
      <c r="L801" s="116">
        <v>0</v>
      </c>
      <c r="M801" s="116">
        <v>0</v>
      </c>
      <c r="N801" s="116">
        <v>0</v>
      </c>
      <c r="O801" s="116">
        <v>6000</v>
      </c>
      <c r="P801" s="116">
        <v>0</v>
      </c>
      <c r="Q801" s="116">
        <v>0</v>
      </c>
      <c r="R801" s="116">
        <v>0</v>
      </c>
      <c r="S801" s="116">
        <v>0</v>
      </c>
      <c r="T801" s="117">
        <v>0</v>
      </c>
      <c r="U801" s="153">
        <f t="shared" si="223"/>
        <v>0</v>
      </c>
      <c r="V801" s="128">
        <f t="shared" si="224"/>
        <v>6000</v>
      </c>
      <c r="W801" s="128">
        <f t="shared" si="225"/>
        <v>0</v>
      </c>
      <c r="X801" s="128">
        <f t="shared" si="226"/>
        <v>0</v>
      </c>
      <c r="Y801" s="128">
        <f t="shared" si="227"/>
        <v>0</v>
      </c>
      <c r="Z801" s="195">
        <f t="shared" si="228"/>
        <v>0</v>
      </c>
      <c r="AA801" s="194">
        <f t="shared" si="229"/>
        <v>0</v>
      </c>
    </row>
    <row r="802" spans="1:27" s="40" customFormat="1" ht="15" customHeight="1">
      <c r="A802" s="152"/>
      <c r="B802" s="274" t="s">
        <v>69</v>
      </c>
      <c r="C802" s="275"/>
      <c r="D802" s="275"/>
      <c r="E802" s="275"/>
      <c r="F802" s="276"/>
      <c r="G802" s="277">
        <v>4400</v>
      </c>
      <c r="H802" s="278"/>
      <c r="I802" s="116">
        <v>0</v>
      </c>
      <c r="J802" s="116">
        <v>0</v>
      </c>
      <c r="K802" s="116">
        <v>0</v>
      </c>
      <c r="L802" s="116">
        <v>1952.17</v>
      </c>
      <c r="M802" s="116">
        <v>0</v>
      </c>
      <c r="N802" s="116">
        <v>0</v>
      </c>
      <c r="O802" s="116">
        <v>4400</v>
      </c>
      <c r="P802" s="116">
        <v>0</v>
      </c>
      <c r="Q802" s="116">
        <v>0</v>
      </c>
      <c r="R802" s="116">
        <v>1952.17</v>
      </c>
      <c r="S802" s="116">
        <v>0</v>
      </c>
      <c r="T802" s="117">
        <v>0</v>
      </c>
      <c r="U802" s="153">
        <f t="shared" si="223"/>
        <v>0.44367500000000004</v>
      </c>
      <c r="V802" s="128">
        <f t="shared" si="224"/>
        <v>4400</v>
      </c>
      <c r="W802" s="128">
        <f t="shared" si="225"/>
        <v>0</v>
      </c>
      <c r="X802" s="128">
        <f t="shared" si="226"/>
        <v>1952.17</v>
      </c>
      <c r="Y802" s="128">
        <f t="shared" si="227"/>
        <v>0</v>
      </c>
      <c r="Z802" s="195">
        <f t="shared" si="228"/>
        <v>0.44367500000000004</v>
      </c>
      <c r="AA802" s="194">
        <f t="shared" si="229"/>
        <v>0</v>
      </c>
    </row>
    <row r="803" spans="1:27" s="40" customFormat="1" ht="15" customHeight="1">
      <c r="A803" s="152"/>
      <c r="B803" s="274" t="s">
        <v>94</v>
      </c>
      <c r="C803" s="275"/>
      <c r="D803" s="275"/>
      <c r="E803" s="275"/>
      <c r="F803" s="276"/>
      <c r="G803" s="277">
        <v>3200</v>
      </c>
      <c r="H803" s="278"/>
      <c r="I803" s="116">
        <v>800</v>
      </c>
      <c r="J803" s="116">
        <v>0</v>
      </c>
      <c r="K803" s="116">
        <v>0</v>
      </c>
      <c r="L803" s="116">
        <v>0</v>
      </c>
      <c r="M803" s="116">
        <v>0</v>
      </c>
      <c r="N803" s="116">
        <v>0</v>
      </c>
      <c r="O803" s="116">
        <f>800+800</f>
        <v>1600</v>
      </c>
      <c r="P803" s="116">
        <v>0</v>
      </c>
      <c r="Q803" s="116">
        <v>0</v>
      </c>
      <c r="R803" s="116">
        <v>0</v>
      </c>
      <c r="S803" s="116">
        <v>0</v>
      </c>
      <c r="T803" s="117">
        <v>0</v>
      </c>
      <c r="U803" s="153">
        <f t="shared" si="223"/>
        <v>0</v>
      </c>
      <c r="V803" s="128">
        <f t="shared" si="224"/>
        <v>1600</v>
      </c>
      <c r="W803" s="128">
        <f t="shared" si="225"/>
        <v>0</v>
      </c>
      <c r="X803" s="128">
        <f t="shared" si="226"/>
        <v>0</v>
      </c>
      <c r="Y803" s="128">
        <f t="shared" si="227"/>
        <v>0</v>
      </c>
      <c r="Z803" s="195">
        <f t="shared" si="228"/>
        <v>0</v>
      </c>
      <c r="AA803" s="194">
        <f t="shared" si="229"/>
        <v>0</v>
      </c>
    </row>
    <row r="804" spans="1:27" ht="15.75" thickBot="1">
      <c r="A804" s="23"/>
      <c r="B804" s="469"/>
      <c r="C804" s="297"/>
      <c r="D804" s="297"/>
      <c r="E804" s="297"/>
      <c r="F804" s="470"/>
      <c r="G804" s="456"/>
      <c r="H804" s="468"/>
      <c r="I804" s="55"/>
      <c r="J804" s="55"/>
      <c r="K804" s="55"/>
      <c r="L804" s="55"/>
      <c r="M804" s="55"/>
      <c r="N804" s="55"/>
      <c r="O804" s="55"/>
      <c r="P804" s="55"/>
      <c r="Q804" s="55"/>
      <c r="R804" s="55"/>
      <c r="S804" s="55"/>
      <c r="T804" s="76"/>
      <c r="U804" s="77"/>
    </row>
    <row r="805" spans="1:27" ht="15.75" thickBot="1">
      <c r="A805" s="23"/>
      <c r="B805" s="257" t="s">
        <v>21</v>
      </c>
      <c r="C805" s="258"/>
      <c r="D805" s="258"/>
      <c r="E805" s="258"/>
      <c r="F805" s="259"/>
      <c r="G805" s="260">
        <f>SUM(G796:H804)</f>
        <v>104428</v>
      </c>
      <c r="H805" s="261"/>
      <c r="I805" s="29">
        <f>SUM(I796:I804)</f>
        <v>800</v>
      </c>
      <c r="J805" s="29"/>
      <c r="K805" s="29"/>
      <c r="L805" s="29">
        <f>SUM(L796:L804)</f>
        <v>1952.17</v>
      </c>
      <c r="M805" s="29"/>
      <c r="N805" s="29"/>
      <c r="O805" s="29">
        <f>SUM(O796:O804)</f>
        <v>40328</v>
      </c>
      <c r="P805" s="29"/>
      <c r="Q805" s="29"/>
      <c r="R805" s="29">
        <f>SUM(R796:R804)</f>
        <v>30280.17</v>
      </c>
      <c r="S805" s="30"/>
      <c r="T805" s="73"/>
      <c r="U805" s="71">
        <f t="shared" ref="U805" si="230">R805/G805</f>
        <v>0.28996217489562187</v>
      </c>
      <c r="V805" s="128">
        <f>+I805+O685</f>
        <v>40328</v>
      </c>
      <c r="W805" s="128">
        <f>+O805-V805</f>
        <v>0</v>
      </c>
      <c r="X805" s="128">
        <f>+L805+R685</f>
        <v>30280.17</v>
      </c>
      <c r="Y805" s="128">
        <f>+R805-X805</f>
        <v>0</v>
      </c>
      <c r="Z805" s="195">
        <f>+X805/G805</f>
        <v>0.28996217489562187</v>
      </c>
      <c r="AA805" s="194">
        <f>+U805-Z805</f>
        <v>0</v>
      </c>
    </row>
    <row r="806" spans="1:27" ht="15.75" thickBot="1">
      <c r="C806" s="32"/>
      <c r="I806" s="104">
        <f>SUM(I793,I805)</f>
        <v>47300</v>
      </c>
      <c r="J806" s="130"/>
      <c r="K806" s="130"/>
      <c r="L806" s="104">
        <f>SUM(L793,L805)</f>
        <v>96245.569999999992</v>
      </c>
      <c r="M806" s="130"/>
      <c r="N806" s="131"/>
      <c r="O806" s="104">
        <f>SUM(O793,O805)</f>
        <v>476836</v>
      </c>
      <c r="P806" s="130"/>
      <c r="Q806" s="130"/>
      <c r="R806" s="104">
        <f>SUM(R793,R805)</f>
        <v>261413.06999999995</v>
      </c>
      <c r="U806" s="33"/>
    </row>
    <row r="807" spans="1:27" ht="15.75" thickBot="1">
      <c r="B807" s="262" t="s">
        <v>31</v>
      </c>
      <c r="C807" s="263"/>
      <c r="D807" s="263"/>
      <c r="E807" s="263"/>
      <c r="F807" s="263"/>
      <c r="G807" s="263"/>
      <c r="H807" s="263"/>
      <c r="I807" s="263"/>
      <c r="J807" s="263"/>
      <c r="K807" s="263"/>
      <c r="L807" s="263"/>
      <c r="M807" s="263"/>
      <c r="N807" s="263"/>
      <c r="O807" s="263"/>
      <c r="P807" s="263"/>
      <c r="Q807" s="263"/>
      <c r="R807" s="263"/>
      <c r="S807" s="263"/>
      <c r="T807" s="263"/>
      <c r="U807" s="263"/>
      <c r="V807" s="34"/>
    </row>
    <row r="808" spans="1:27" ht="15" customHeight="1" thickBot="1">
      <c r="B808" s="264"/>
      <c r="C808" s="265"/>
      <c r="D808" s="267" t="s">
        <v>15</v>
      </c>
      <c r="E808" s="268"/>
      <c r="F808" s="268"/>
      <c r="G808" s="268"/>
      <c r="H808" s="268"/>
      <c r="I808" s="269"/>
      <c r="J808" s="267" t="s">
        <v>32</v>
      </c>
      <c r="K808" s="268"/>
      <c r="L808" s="268"/>
      <c r="M808" s="268"/>
      <c r="N808" s="268"/>
      <c r="O808" s="269"/>
      <c r="P808" s="267" t="s">
        <v>17</v>
      </c>
      <c r="Q808" s="268"/>
      <c r="R808" s="268"/>
      <c r="S808" s="268"/>
      <c r="T808" s="268"/>
      <c r="U808" s="35"/>
    </row>
    <row r="809" spans="1:27" ht="15.75" customHeight="1" thickBot="1">
      <c r="B809" s="219"/>
      <c r="C809" s="266"/>
      <c r="D809" s="270" t="s">
        <v>26</v>
      </c>
      <c r="E809" s="271"/>
      <c r="F809" s="272" t="s">
        <v>27</v>
      </c>
      <c r="G809" s="273"/>
      <c r="H809" s="268" t="s">
        <v>28</v>
      </c>
      <c r="I809" s="269"/>
      <c r="J809" s="272" t="s">
        <v>26</v>
      </c>
      <c r="K809" s="273"/>
      <c r="L809" s="272" t="s">
        <v>27</v>
      </c>
      <c r="M809" s="273"/>
      <c r="N809" s="268" t="s">
        <v>28</v>
      </c>
      <c r="O809" s="269"/>
      <c r="P809" s="272" t="s">
        <v>26</v>
      </c>
      <c r="Q809" s="273"/>
      <c r="R809" s="272" t="s">
        <v>27</v>
      </c>
      <c r="S809" s="273"/>
      <c r="T809" s="268" t="s">
        <v>28</v>
      </c>
      <c r="U809" s="269"/>
    </row>
    <row r="810" spans="1:27" ht="30" customHeight="1">
      <c r="A810" s="23"/>
      <c r="B810" s="250" t="s">
        <v>33</v>
      </c>
      <c r="C810" s="251"/>
      <c r="D810" s="252">
        <v>675408</v>
      </c>
      <c r="E810" s="253"/>
      <c r="F810" s="252">
        <v>0</v>
      </c>
      <c r="G810" s="253"/>
      <c r="H810" s="252">
        <v>0</v>
      </c>
      <c r="I810" s="253"/>
      <c r="J810" s="254">
        <v>94293.4</v>
      </c>
      <c r="K810" s="255"/>
      <c r="L810" s="240">
        <v>0</v>
      </c>
      <c r="M810" s="253"/>
      <c r="N810" s="240">
        <v>0</v>
      </c>
      <c r="O810" s="256"/>
      <c r="P810" s="254">
        <f>23416.71+27887.03+23419.61+20279.25+15856.72+25980.18+94293.4</f>
        <v>231132.9</v>
      </c>
      <c r="Q810" s="255"/>
      <c r="R810" s="240">
        <v>0</v>
      </c>
      <c r="S810" s="253"/>
      <c r="T810" s="240">
        <v>0</v>
      </c>
      <c r="U810" s="241"/>
    </row>
    <row r="811" spans="1:27" ht="30" customHeight="1" thickBot="1">
      <c r="A811" s="4"/>
      <c r="B811" s="242" t="s">
        <v>34</v>
      </c>
      <c r="C811" s="243"/>
      <c r="D811" s="244">
        <v>104428</v>
      </c>
      <c r="E811" s="245"/>
      <c r="F811" s="244">
        <v>0</v>
      </c>
      <c r="G811" s="245"/>
      <c r="H811" s="244">
        <v>0</v>
      </c>
      <c r="I811" s="245"/>
      <c r="J811" s="244">
        <v>1952.17</v>
      </c>
      <c r="K811" s="245"/>
      <c r="L811" s="246">
        <v>0</v>
      </c>
      <c r="M811" s="245"/>
      <c r="N811" s="246">
        <v>0</v>
      </c>
      <c r="O811" s="247"/>
      <c r="P811" s="248">
        <f>0+0+0+12328+6710.67+9289.33+1952.17</f>
        <v>30280.17</v>
      </c>
      <c r="Q811" s="249"/>
      <c r="R811" s="246">
        <v>0</v>
      </c>
      <c r="S811" s="245"/>
      <c r="T811" s="246">
        <v>0</v>
      </c>
      <c r="U811" s="247"/>
    </row>
    <row r="812" spans="1:27" ht="15.75" thickBot="1">
      <c r="A812" s="23"/>
      <c r="B812" s="233" t="s">
        <v>21</v>
      </c>
      <c r="C812" s="234"/>
      <c r="D812" s="235">
        <f>SUM(D810:E811)</f>
        <v>779836</v>
      </c>
      <c r="E812" s="236"/>
      <c r="F812" s="235">
        <f>SUM(F810:G811)</f>
        <v>0</v>
      </c>
      <c r="G812" s="236"/>
      <c r="H812" s="235">
        <f>SUM(H810:I811)</f>
        <v>0</v>
      </c>
      <c r="I812" s="236"/>
      <c r="J812" s="237">
        <f>SUM(J810:K811)</f>
        <v>96245.569999999992</v>
      </c>
      <c r="K812" s="238"/>
      <c r="L812" s="215">
        <f>SUM(L810:M811)</f>
        <v>0</v>
      </c>
      <c r="M812" s="238"/>
      <c r="N812" s="236">
        <f>SUM(N810:O811)</f>
        <v>0</v>
      </c>
      <c r="O812" s="236"/>
      <c r="P812" s="237">
        <f>SUM(P810:Q811)</f>
        <v>261413.07</v>
      </c>
      <c r="Q812" s="239"/>
      <c r="R812" s="215">
        <f>SUM(R810:S811)</f>
        <v>0</v>
      </c>
      <c r="S812" s="238"/>
      <c r="T812" s="215">
        <f>SUM(T810:U811)</f>
        <v>0</v>
      </c>
      <c r="U812" s="216"/>
    </row>
    <row r="813" spans="1:27">
      <c r="A813" s="23"/>
      <c r="B813" s="109"/>
      <c r="C813" s="109"/>
      <c r="D813" s="109"/>
      <c r="E813" s="109"/>
      <c r="F813" s="107"/>
      <c r="G813" s="107"/>
      <c r="H813" s="114"/>
      <c r="I813" s="114"/>
      <c r="J813" s="107"/>
      <c r="K813" s="107"/>
      <c r="L813" s="115"/>
      <c r="M813" s="114"/>
      <c r="N813" s="107"/>
      <c r="O813" s="114"/>
      <c r="P813" s="114"/>
      <c r="Q813" s="107"/>
      <c r="R813" s="23"/>
      <c r="S813" s="23"/>
      <c r="T813" s="23"/>
      <c r="U813" s="23"/>
    </row>
    <row r="814" spans="1:27" ht="15.75" thickBot="1">
      <c r="A814" s="23"/>
      <c r="B814" s="109"/>
      <c r="C814" s="109"/>
      <c r="D814" s="109"/>
      <c r="E814" s="109"/>
      <c r="F814" s="107"/>
      <c r="G814" s="107"/>
      <c r="H814" s="107"/>
      <c r="I814" s="107"/>
      <c r="J814" s="107"/>
      <c r="K814" s="107"/>
      <c r="L814" s="107"/>
      <c r="M814" s="107"/>
      <c r="N814" s="107"/>
      <c r="O814" s="107"/>
      <c r="P814" s="107"/>
      <c r="Q814" s="107"/>
      <c r="R814" s="23"/>
      <c r="S814" s="23"/>
      <c r="T814" s="23"/>
      <c r="U814" s="23"/>
    </row>
    <row r="815" spans="1:27" ht="15.75" thickBot="1">
      <c r="B815" s="217" t="s">
        <v>35</v>
      </c>
      <c r="C815" s="218"/>
      <c r="D815" s="218"/>
      <c r="E815" s="219"/>
      <c r="F815" s="205"/>
      <c r="G815" s="205"/>
      <c r="H815" s="205"/>
      <c r="I815" s="205"/>
      <c r="J815" s="205"/>
      <c r="K815" s="205"/>
      <c r="L815" s="205"/>
      <c r="M815" s="205"/>
      <c r="N815" s="205"/>
      <c r="O815" s="205"/>
      <c r="P815" s="205"/>
      <c r="Q815" s="205"/>
      <c r="R815" s="205"/>
      <c r="S815" s="205"/>
      <c r="T815" s="205"/>
      <c r="U815" s="205"/>
    </row>
    <row r="816" spans="1:27">
      <c r="B816" s="444"/>
      <c r="C816" s="445"/>
      <c r="D816" s="445"/>
      <c r="E816" s="445"/>
      <c r="F816" s="445"/>
      <c r="G816" s="445"/>
      <c r="H816" s="445"/>
      <c r="I816" s="445"/>
      <c r="J816" s="445"/>
      <c r="K816" s="445"/>
      <c r="L816" s="445"/>
      <c r="M816" s="445"/>
      <c r="N816" s="445"/>
      <c r="O816" s="445"/>
      <c r="P816" s="445"/>
      <c r="Q816" s="445"/>
      <c r="R816" s="445"/>
      <c r="S816" s="445"/>
      <c r="T816" s="445"/>
      <c r="U816" s="446"/>
    </row>
    <row r="817" spans="2:21">
      <c r="B817" s="447"/>
      <c r="C817" s="448"/>
      <c r="D817" s="448"/>
      <c r="E817" s="448"/>
      <c r="F817" s="448"/>
      <c r="G817" s="448"/>
      <c r="H817" s="448"/>
      <c r="I817" s="448"/>
      <c r="J817" s="448"/>
      <c r="K817" s="448"/>
      <c r="L817" s="448"/>
      <c r="M817" s="448"/>
      <c r="N817" s="448"/>
      <c r="O817" s="448"/>
      <c r="P817" s="448"/>
      <c r="Q817" s="448"/>
      <c r="R817" s="448"/>
      <c r="S817" s="448"/>
      <c r="T817" s="448"/>
      <c r="U817" s="449"/>
    </row>
    <row r="818" spans="2:21">
      <c r="B818" s="447"/>
      <c r="C818" s="448"/>
      <c r="D818" s="448"/>
      <c r="E818" s="448"/>
      <c r="F818" s="448"/>
      <c r="G818" s="448"/>
      <c r="H818" s="448"/>
      <c r="I818" s="448"/>
      <c r="J818" s="448"/>
      <c r="K818" s="448"/>
      <c r="L818" s="448"/>
      <c r="M818" s="448"/>
      <c r="N818" s="448"/>
      <c r="O818" s="448"/>
      <c r="P818" s="448"/>
      <c r="Q818" s="448"/>
      <c r="R818" s="448"/>
      <c r="S818" s="448"/>
      <c r="T818" s="448"/>
      <c r="U818" s="449"/>
    </row>
    <row r="819" spans="2:21">
      <c r="B819" s="447"/>
      <c r="C819" s="448"/>
      <c r="D819" s="448"/>
      <c r="E819" s="448"/>
      <c r="F819" s="448"/>
      <c r="G819" s="448"/>
      <c r="H819" s="448"/>
      <c r="I819" s="448"/>
      <c r="J819" s="448"/>
      <c r="K819" s="448"/>
      <c r="L819" s="448"/>
      <c r="M819" s="448"/>
      <c r="N819" s="448"/>
      <c r="O819" s="448"/>
      <c r="P819" s="448"/>
      <c r="Q819" s="448"/>
      <c r="R819" s="448"/>
      <c r="S819" s="448"/>
      <c r="T819" s="448"/>
      <c r="U819" s="449"/>
    </row>
    <row r="820" spans="2:21">
      <c r="B820" s="447"/>
      <c r="C820" s="448"/>
      <c r="D820" s="448"/>
      <c r="E820" s="448"/>
      <c r="F820" s="448"/>
      <c r="G820" s="448"/>
      <c r="H820" s="448"/>
      <c r="I820" s="448"/>
      <c r="J820" s="448"/>
      <c r="K820" s="448"/>
      <c r="L820" s="448"/>
      <c r="M820" s="448"/>
      <c r="N820" s="448"/>
      <c r="O820" s="448"/>
      <c r="P820" s="448"/>
      <c r="Q820" s="448"/>
      <c r="R820" s="448"/>
      <c r="S820" s="448"/>
      <c r="T820" s="448"/>
      <c r="U820" s="449"/>
    </row>
    <row r="821" spans="2:21">
      <c r="B821" s="447"/>
      <c r="C821" s="448"/>
      <c r="D821" s="448"/>
      <c r="E821" s="448"/>
      <c r="F821" s="448"/>
      <c r="G821" s="448"/>
      <c r="H821" s="448"/>
      <c r="I821" s="448"/>
      <c r="J821" s="448"/>
      <c r="K821" s="448"/>
      <c r="L821" s="448"/>
      <c r="M821" s="448"/>
      <c r="N821" s="448"/>
      <c r="O821" s="448"/>
      <c r="P821" s="448"/>
      <c r="Q821" s="448"/>
      <c r="R821" s="448"/>
      <c r="S821" s="448"/>
      <c r="T821" s="448"/>
      <c r="U821" s="449"/>
    </row>
    <row r="822" spans="2:21" ht="15.75" thickBot="1">
      <c r="B822" s="450"/>
      <c r="C822" s="451"/>
      <c r="D822" s="451"/>
      <c r="E822" s="451"/>
      <c r="F822" s="451"/>
      <c r="G822" s="451"/>
      <c r="H822" s="451"/>
      <c r="I822" s="451"/>
      <c r="J822" s="451"/>
      <c r="K822" s="451"/>
      <c r="L822" s="451"/>
      <c r="M822" s="451"/>
      <c r="N822" s="451"/>
      <c r="O822" s="451"/>
      <c r="P822" s="451"/>
      <c r="Q822" s="451"/>
      <c r="R822" s="451"/>
      <c r="S822" s="451"/>
      <c r="T822" s="451"/>
      <c r="U822" s="452"/>
    </row>
    <row r="823" spans="2:21">
      <c r="B823" s="23"/>
    </row>
    <row r="824" spans="2:21">
      <c r="H824" s="40"/>
      <c r="I824" s="40"/>
      <c r="O824" s="40"/>
      <c r="Q824" s="40"/>
    </row>
    <row r="825" spans="2:21">
      <c r="B825" s="220" t="s">
        <v>38</v>
      </c>
      <c r="C825" s="220"/>
      <c r="D825" s="220"/>
      <c r="E825" s="220"/>
      <c r="F825" s="220"/>
      <c r="G825" s="220"/>
      <c r="I825" s="41"/>
      <c r="J825" s="213" t="s">
        <v>36</v>
      </c>
      <c r="K825" s="213"/>
      <c r="L825" s="213"/>
      <c r="M825" s="213"/>
      <c r="N825" s="213"/>
      <c r="O825" s="213"/>
      <c r="R825" s="213" t="s">
        <v>37</v>
      </c>
      <c r="S825" s="213"/>
      <c r="T825" s="213"/>
      <c r="U825" s="213"/>
    </row>
    <row r="826" spans="2:21">
      <c r="B826" s="220"/>
      <c r="C826" s="220"/>
      <c r="D826" s="220"/>
      <c r="E826" s="220"/>
      <c r="F826" s="220"/>
      <c r="G826" s="220"/>
      <c r="H826" s="42"/>
      <c r="I826" s="42"/>
      <c r="J826" s="221"/>
      <c r="K826" s="221"/>
      <c r="L826" s="221"/>
      <c r="M826" s="221"/>
      <c r="N826" s="221"/>
      <c r="O826" s="221"/>
      <c r="P826" s="42"/>
      <c r="Q826" s="42"/>
      <c r="R826" s="210" t="s">
        <v>0</v>
      </c>
      <c r="S826" s="210"/>
      <c r="T826" s="210"/>
      <c r="U826" s="210"/>
    </row>
    <row r="827" spans="2:21">
      <c r="B827" s="220"/>
      <c r="C827" s="220"/>
      <c r="D827" s="220"/>
      <c r="E827" s="220"/>
      <c r="F827" s="220"/>
      <c r="G827" s="220"/>
      <c r="H827" s="167"/>
      <c r="I827" s="167"/>
      <c r="J827" s="221"/>
      <c r="K827" s="221"/>
      <c r="L827" s="221"/>
      <c r="M827" s="221"/>
      <c r="N827" s="221"/>
      <c r="O827" s="221"/>
      <c r="P827" s="167"/>
      <c r="Q827" s="167"/>
      <c r="R827" s="210"/>
      <c r="S827" s="210"/>
      <c r="T827" s="210"/>
      <c r="U827" s="210"/>
    </row>
    <row r="828" spans="2:21">
      <c r="B828" s="220"/>
      <c r="C828" s="220"/>
      <c r="D828" s="220"/>
      <c r="E828" s="220"/>
      <c r="F828" s="220"/>
      <c r="G828" s="220"/>
      <c r="H828" s="167"/>
      <c r="I828" s="167"/>
      <c r="J828" s="221"/>
      <c r="K828" s="221"/>
      <c r="L828" s="221"/>
      <c r="M828" s="221"/>
      <c r="N828" s="221"/>
      <c r="O828" s="221"/>
      <c r="P828" s="167"/>
      <c r="Q828" s="167"/>
      <c r="R828" s="210"/>
      <c r="S828" s="210"/>
      <c r="T828" s="210"/>
      <c r="U828" s="210"/>
    </row>
    <row r="829" spans="2:21">
      <c r="B829" s="220"/>
      <c r="C829" s="220"/>
      <c r="D829" s="220"/>
      <c r="E829" s="220"/>
      <c r="F829" s="220"/>
      <c r="G829" s="220"/>
      <c r="H829" s="167"/>
      <c r="I829" s="167"/>
      <c r="J829" s="221"/>
      <c r="K829" s="221"/>
      <c r="L829" s="221"/>
      <c r="M829" s="221"/>
      <c r="N829" s="221"/>
      <c r="O829" s="221"/>
      <c r="P829" s="167"/>
      <c r="Q829" s="167"/>
      <c r="R829" s="210"/>
      <c r="S829" s="210"/>
      <c r="T829" s="210"/>
      <c r="U829" s="210"/>
    </row>
    <row r="830" spans="2:21" ht="15.75" thickBot="1">
      <c r="B830" s="223"/>
      <c r="C830" s="223"/>
      <c r="D830" s="223"/>
      <c r="E830" s="223"/>
      <c r="F830" s="223"/>
      <c r="G830" s="223"/>
      <c r="J830" s="222"/>
      <c r="K830" s="222"/>
      <c r="L830" s="222"/>
      <c r="M830" s="222"/>
      <c r="N830" s="222"/>
      <c r="O830" s="222"/>
      <c r="R830" s="205"/>
      <c r="S830" s="205"/>
      <c r="T830" s="205"/>
      <c r="U830" s="205"/>
    </row>
    <row r="831" spans="2:21">
      <c r="B831" s="210" t="s">
        <v>101</v>
      </c>
      <c r="C831" s="210"/>
      <c r="D831" s="210"/>
      <c r="E831" s="210"/>
      <c r="F831" s="210"/>
      <c r="G831" s="210"/>
      <c r="J831" s="204" t="s">
        <v>102</v>
      </c>
      <c r="K831" s="204"/>
      <c r="L831" s="204"/>
      <c r="M831" s="204"/>
      <c r="N831" s="204"/>
      <c r="O831" s="204"/>
      <c r="R831" s="211" t="s">
        <v>136</v>
      </c>
      <c r="S831" s="211"/>
      <c r="T831" s="211"/>
      <c r="U831" s="211"/>
    </row>
    <row r="832" spans="2:21">
      <c r="B832" s="204" t="s">
        <v>103</v>
      </c>
      <c r="C832" s="204"/>
      <c r="D832" s="204"/>
      <c r="E832" s="204"/>
      <c r="F832" s="204"/>
      <c r="G832" s="204"/>
      <c r="J832" s="212" t="s">
        <v>104</v>
      </c>
      <c r="K832" s="212"/>
      <c r="L832" s="212"/>
      <c r="M832" s="212"/>
      <c r="N832" s="212"/>
      <c r="O832" s="212"/>
      <c r="P832" s="118"/>
      <c r="Q832" s="118"/>
      <c r="R832" s="212" t="s">
        <v>105</v>
      </c>
      <c r="S832" s="212"/>
      <c r="T832" s="212"/>
      <c r="U832" s="212"/>
    </row>
    <row r="834" spans="2:21">
      <c r="J834" s="213" t="s">
        <v>50</v>
      </c>
      <c r="K834" s="213"/>
      <c r="L834" s="213"/>
      <c r="M834" s="213"/>
      <c r="N834" s="213"/>
      <c r="O834" s="213"/>
    </row>
    <row r="835" spans="2:21">
      <c r="C835" s="214" t="s">
        <v>157</v>
      </c>
      <c r="D835" s="214"/>
      <c r="E835" s="214"/>
      <c r="F835" s="214"/>
      <c r="J835" s="206" t="s">
        <v>48</v>
      </c>
      <c r="K835" s="206"/>
      <c r="L835" s="206"/>
      <c r="M835" s="206"/>
      <c r="N835" s="206"/>
      <c r="O835" s="206"/>
      <c r="R835" s="206" t="s">
        <v>51</v>
      </c>
      <c r="S835" s="206"/>
      <c r="T835" s="206"/>
      <c r="U835" s="206"/>
    </row>
    <row r="836" spans="2:21">
      <c r="B836" s="204"/>
      <c r="C836" s="204"/>
      <c r="D836" s="204"/>
      <c r="E836" s="204"/>
      <c r="F836" s="204"/>
      <c r="G836" s="204"/>
      <c r="J836" s="206"/>
      <c r="K836" s="206"/>
      <c r="L836" s="206"/>
      <c r="M836" s="206"/>
      <c r="N836" s="206"/>
      <c r="O836" s="206"/>
      <c r="R836" s="204"/>
      <c r="S836" s="204"/>
      <c r="T836" s="204"/>
      <c r="U836" s="204"/>
    </row>
    <row r="837" spans="2:21">
      <c r="B837" s="204"/>
      <c r="C837" s="204"/>
      <c r="D837" s="204"/>
      <c r="E837" s="204"/>
      <c r="F837" s="204"/>
      <c r="G837" s="204"/>
      <c r="J837" s="206"/>
      <c r="K837" s="206"/>
      <c r="L837" s="206"/>
      <c r="M837" s="206"/>
      <c r="N837" s="206"/>
      <c r="O837" s="206"/>
      <c r="R837" s="204"/>
      <c r="S837" s="204"/>
      <c r="T837" s="204"/>
      <c r="U837" s="204"/>
    </row>
    <row r="838" spans="2:21">
      <c r="B838" s="204"/>
      <c r="C838" s="204"/>
      <c r="D838" s="204"/>
      <c r="E838" s="204"/>
      <c r="F838" s="204"/>
      <c r="G838" s="204"/>
      <c r="J838" s="206"/>
      <c r="K838" s="206"/>
      <c r="L838" s="206"/>
      <c r="M838" s="206"/>
      <c r="N838" s="206"/>
      <c r="O838" s="206"/>
      <c r="R838" s="204"/>
      <c r="S838" s="204"/>
      <c r="T838" s="204"/>
      <c r="U838" s="204"/>
    </row>
    <row r="839" spans="2:21" ht="15.75" thickBot="1">
      <c r="B839" s="205"/>
      <c r="C839" s="205"/>
      <c r="D839" s="205"/>
      <c r="E839" s="205"/>
      <c r="F839" s="205"/>
      <c r="G839" s="205"/>
      <c r="H839" s="51"/>
      <c r="I839" s="51"/>
      <c r="J839" s="207"/>
      <c r="K839" s="207"/>
      <c r="L839" s="207"/>
      <c r="M839" s="207"/>
      <c r="N839" s="207"/>
      <c r="O839" s="207"/>
      <c r="P839" s="51"/>
      <c r="Q839" s="51"/>
      <c r="R839" s="205"/>
      <c r="S839" s="205"/>
      <c r="T839" s="205"/>
      <c r="U839" s="205"/>
    </row>
    <row r="840" spans="2:21">
      <c r="B840" s="208" t="s">
        <v>106</v>
      </c>
      <c r="C840" s="208"/>
      <c r="D840" s="208"/>
      <c r="E840" s="208"/>
      <c r="F840" s="208"/>
      <c r="G840" s="208"/>
      <c r="H840" s="119"/>
      <c r="I840" s="119"/>
      <c r="J840" s="208" t="s">
        <v>107</v>
      </c>
      <c r="K840" s="208"/>
      <c r="L840" s="208"/>
      <c r="M840" s="208"/>
      <c r="N840" s="208"/>
      <c r="O840" s="208"/>
      <c r="P840" s="51"/>
      <c r="Q840" s="51"/>
      <c r="R840" s="208" t="s">
        <v>108</v>
      </c>
      <c r="S840" s="208"/>
      <c r="T840" s="208"/>
      <c r="U840" s="208"/>
    </row>
    <row r="841" spans="2:21" ht="32.25" customHeight="1">
      <c r="B841" s="209" t="s">
        <v>109</v>
      </c>
      <c r="C841" s="209"/>
      <c r="D841" s="209"/>
      <c r="E841" s="209"/>
      <c r="F841" s="209"/>
      <c r="G841" s="209"/>
      <c r="J841" s="209" t="s">
        <v>110</v>
      </c>
      <c r="K841" s="209"/>
      <c r="L841" s="209"/>
      <c r="M841" s="209"/>
      <c r="N841" s="209"/>
      <c r="O841" s="209"/>
      <c r="R841" s="209" t="s">
        <v>111</v>
      </c>
      <c r="S841" s="209"/>
      <c r="T841" s="209"/>
      <c r="U841" s="209"/>
    </row>
    <row r="844" spans="2:21" ht="23.25">
      <c r="B844" s="426" t="s">
        <v>112</v>
      </c>
      <c r="C844" s="426"/>
      <c r="D844" s="426"/>
      <c r="E844" s="426"/>
      <c r="F844" s="426"/>
      <c r="G844" s="426"/>
      <c r="H844" s="426"/>
      <c r="I844" s="426"/>
      <c r="J844" s="426"/>
      <c r="K844" s="426"/>
      <c r="L844" s="426"/>
      <c r="M844" s="426"/>
      <c r="N844" s="426"/>
      <c r="O844" s="426"/>
      <c r="P844" s="426"/>
      <c r="Q844" s="426"/>
      <c r="R844" s="426"/>
      <c r="S844" s="426"/>
      <c r="T844" s="426"/>
      <c r="U844" s="426"/>
    </row>
    <row r="847" spans="2:21" ht="15" customHeight="1"/>
    <row r="848" spans="2:21" ht="15" customHeight="1">
      <c r="F848" s="1"/>
      <c r="G848" s="1"/>
      <c r="H848" s="1"/>
      <c r="I848" s="1"/>
      <c r="J848" s="1"/>
      <c r="K848" s="1"/>
      <c r="L848" s="1"/>
      <c r="M848" s="1"/>
      <c r="N848" s="1"/>
      <c r="O848" s="1"/>
    </row>
    <row r="849" spans="1:27" ht="15" customHeight="1">
      <c r="B849" s="427" t="s">
        <v>125</v>
      </c>
      <c r="C849" s="427"/>
      <c r="D849" s="427"/>
      <c r="E849" s="427"/>
      <c r="F849" s="427"/>
      <c r="G849" s="427"/>
      <c r="H849" s="427"/>
      <c r="I849" s="427"/>
      <c r="J849" s="427"/>
      <c r="K849" s="427"/>
      <c r="L849" s="427"/>
      <c r="M849" s="427"/>
      <c r="N849" s="427"/>
      <c r="O849" s="427"/>
      <c r="P849" s="427"/>
      <c r="Q849" s="427"/>
      <c r="R849" s="427"/>
      <c r="S849" s="427"/>
      <c r="T849" s="427"/>
      <c r="U849" s="427"/>
    </row>
    <row r="850" spans="1:27" ht="15" customHeight="1">
      <c r="F850" t="s">
        <v>0</v>
      </c>
    </row>
    <row r="851" spans="1:27" ht="15" customHeight="1">
      <c r="B851" s="2"/>
      <c r="C851" s="2"/>
      <c r="D851" s="2"/>
      <c r="E851" s="2"/>
      <c r="F851" s="2"/>
      <c r="G851" s="2"/>
      <c r="H851" s="2"/>
      <c r="I851" s="2"/>
      <c r="J851" s="2"/>
      <c r="K851" s="2"/>
      <c r="L851" s="2"/>
      <c r="M851" s="2"/>
      <c r="N851" s="2"/>
      <c r="O851" s="2"/>
      <c r="P851" s="2"/>
      <c r="Q851" s="2"/>
      <c r="R851" s="2"/>
      <c r="S851" s="2"/>
      <c r="T851" s="2"/>
      <c r="U851" s="2"/>
    </row>
    <row r="852" spans="1:27" ht="15" customHeight="1" thickBot="1">
      <c r="B852" s="3"/>
      <c r="C852" s="3"/>
      <c r="D852" s="3"/>
      <c r="E852" s="3"/>
      <c r="F852" s="3"/>
      <c r="G852" s="3"/>
      <c r="H852" s="3"/>
      <c r="I852" s="3"/>
      <c r="J852" s="3"/>
      <c r="K852" s="3"/>
      <c r="L852" s="3"/>
      <c r="M852" s="3"/>
      <c r="N852" s="3"/>
      <c r="O852" s="3"/>
      <c r="P852" s="3"/>
      <c r="Q852" s="3"/>
      <c r="R852" s="3"/>
      <c r="S852" s="3"/>
      <c r="T852" s="3"/>
      <c r="U852" s="3"/>
    </row>
    <row r="853" spans="1:27" ht="15" customHeight="1">
      <c r="B853" s="385" t="s">
        <v>1</v>
      </c>
      <c r="C853" s="386"/>
      <c r="D853" s="386"/>
      <c r="E853" s="386"/>
      <c r="F853" s="387"/>
      <c r="G853" s="428" t="s">
        <v>164</v>
      </c>
      <c r="H853" s="429"/>
      <c r="I853" s="429"/>
      <c r="J853" s="429"/>
      <c r="K853" s="429"/>
      <c r="L853" s="429"/>
      <c r="M853" s="429"/>
      <c r="N853" s="429"/>
      <c r="O853" s="429"/>
      <c r="P853" s="429"/>
      <c r="Q853" s="429"/>
      <c r="R853" s="429"/>
      <c r="S853" s="429"/>
      <c r="T853" s="429"/>
      <c r="U853" s="430"/>
    </row>
    <row r="854" spans="1:27" ht="15" customHeight="1">
      <c r="A854" s="4"/>
      <c r="B854" s="431" t="s">
        <v>2</v>
      </c>
      <c r="C854" s="432"/>
      <c r="D854" s="432"/>
      <c r="E854" s="432"/>
      <c r="F854" s="433"/>
      <c r="G854" s="434" t="s">
        <v>163</v>
      </c>
      <c r="H854" s="435"/>
      <c r="I854" s="435"/>
      <c r="J854" s="435"/>
      <c r="K854" s="435"/>
      <c r="L854" s="435"/>
      <c r="M854" s="435"/>
      <c r="N854" s="435"/>
      <c r="O854" s="435"/>
      <c r="P854" s="435"/>
      <c r="Q854" s="435"/>
      <c r="R854" s="435"/>
      <c r="S854" s="435"/>
      <c r="T854" s="435"/>
      <c r="U854" s="436"/>
    </row>
    <row r="855" spans="1:27" ht="15" customHeight="1">
      <c r="A855" s="4"/>
      <c r="B855" s="385" t="s">
        <v>3</v>
      </c>
      <c r="C855" s="386"/>
      <c r="D855" s="386"/>
      <c r="E855" s="386"/>
      <c r="F855" s="387"/>
      <c r="G855" s="437" t="s">
        <v>156</v>
      </c>
      <c r="H855" s="438"/>
      <c r="I855" s="438"/>
      <c r="J855" s="438"/>
      <c r="K855" s="438"/>
      <c r="L855" s="438"/>
      <c r="M855" s="438"/>
      <c r="N855" s="438"/>
      <c r="O855" s="438"/>
      <c r="P855" s="438"/>
      <c r="Q855" s="438"/>
      <c r="R855" s="438"/>
      <c r="S855" s="438"/>
      <c r="T855" s="438"/>
      <c r="U855" s="439"/>
    </row>
    <row r="856" spans="1:27" ht="15" customHeight="1">
      <c r="A856" s="4"/>
      <c r="B856" s="385" t="s">
        <v>4</v>
      </c>
      <c r="C856" s="386"/>
      <c r="D856" s="386"/>
      <c r="E856" s="386"/>
      <c r="F856" s="387"/>
      <c r="G856" s="440" t="s">
        <v>165</v>
      </c>
      <c r="H856" s="441"/>
      <c r="I856" s="441"/>
      <c r="J856" s="441"/>
      <c r="K856" s="441"/>
      <c r="L856" s="441"/>
      <c r="M856" s="441"/>
      <c r="N856" s="441"/>
      <c r="O856" s="441"/>
      <c r="P856" s="441"/>
      <c r="Q856" s="441"/>
      <c r="R856" s="441"/>
      <c r="S856" s="441"/>
      <c r="T856" s="441"/>
      <c r="U856" s="442"/>
    </row>
    <row r="857" spans="1:27" ht="15" customHeight="1">
      <c r="A857" s="4"/>
      <c r="B857" s="385" t="s">
        <v>5</v>
      </c>
      <c r="C857" s="386"/>
      <c r="D857" s="386"/>
      <c r="E857" s="386"/>
      <c r="F857" s="387"/>
      <c r="G857" s="410" t="s">
        <v>6</v>
      </c>
      <c r="H857" s="411"/>
      <c r="I857" s="412">
        <v>779836</v>
      </c>
      <c r="J857" s="413"/>
      <c r="K857" s="413"/>
      <c r="L857" s="414"/>
      <c r="M857" s="5" t="s">
        <v>7</v>
      </c>
      <c r="N857" s="412">
        <v>0</v>
      </c>
      <c r="O857" s="413"/>
      <c r="P857" s="413"/>
      <c r="Q857" s="414"/>
      <c r="R857" s="415" t="s">
        <v>8</v>
      </c>
      <c r="S857" s="416"/>
      <c r="T857" s="412">
        <v>0</v>
      </c>
      <c r="U857" s="417"/>
    </row>
    <row r="858" spans="1:27">
      <c r="A858" s="4"/>
      <c r="B858" s="385" t="s">
        <v>9</v>
      </c>
      <c r="C858" s="386"/>
      <c r="D858" s="386"/>
      <c r="E858" s="386"/>
      <c r="F858" s="387"/>
      <c r="G858" s="418" t="s">
        <v>6</v>
      </c>
      <c r="H858" s="419"/>
      <c r="I858" s="412">
        <v>779836</v>
      </c>
      <c r="J858" s="413"/>
      <c r="K858" s="413"/>
      <c r="L858" s="414"/>
      <c r="M858" s="5" t="s">
        <v>7</v>
      </c>
      <c r="N858" s="420">
        <v>0</v>
      </c>
      <c r="O858" s="421"/>
      <c r="P858" s="421"/>
      <c r="Q858" s="422"/>
      <c r="R858" s="423"/>
      <c r="S858" s="424"/>
      <c r="T858" s="424"/>
      <c r="U858" s="425"/>
    </row>
    <row r="859" spans="1:27" ht="15.75" thickBot="1">
      <c r="A859" s="4"/>
      <c r="B859" s="385" t="s">
        <v>10</v>
      </c>
      <c r="C859" s="386"/>
      <c r="D859" s="386"/>
      <c r="E859" s="386"/>
      <c r="F859" s="387"/>
      <c r="G859" s="460" t="s">
        <v>113</v>
      </c>
      <c r="H859" s="461"/>
      <c r="I859" s="461"/>
      <c r="J859" s="461"/>
      <c r="K859" s="461"/>
      <c r="L859" s="461"/>
      <c r="M859" s="461"/>
      <c r="N859" s="461"/>
      <c r="O859" s="461"/>
      <c r="P859" s="461"/>
      <c r="Q859" s="461"/>
      <c r="R859" s="461"/>
      <c r="S859" s="461"/>
      <c r="T859" s="461"/>
      <c r="U859" s="462"/>
    </row>
    <row r="860" spans="1:27" ht="15.75" customHeight="1" thickBot="1">
      <c r="A860" s="4"/>
      <c r="B860" s="391" t="s">
        <v>11</v>
      </c>
      <c r="C860" s="392"/>
      <c r="D860" s="392"/>
      <c r="E860" s="392"/>
      <c r="F860" s="393"/>
      <c r="G860" s="394" t="s">
        <v>118</v>
      </c>
      <c r="H860" s="395"/>
      <c r="I860" s="395"/>
      <c r="J860" s="395"/>
      <c r="K860" s="395"/>
      <c r="L860" s="395"/>
      <c r="M860" s="395"/>
      <c r="N860" s="395"/>
      <c r="O860" s="395"/>
      <c r="P860" s="395"/>
      <c r="Q860" s="395"/>
      <c r="R860" s="395"/>
      <c r="S860" s="395"/>
      <c r="T860" s="395"/>
      <c r="U860" s="396"/>
    </row>
    <row r="861" spans="1:27" ht="15.75" thickBot="1">
      <c r="B861" s="397"/>
      <c r="C861" s="397"/>
      <c r="D861" s="397"/>
      <c r="E861" s="397"/>
      <c r="F861" s="397"/>
      <c r="G861" s="397"/>
      <c r="H861" s="397"/>
      <c r="I861" s="397"/>
      <c r="J861" s="397"/>
      <c r="K861" s="397"/>
      <c r="L861" s="397"/>
      <c r="M861" s="397"/>
      <c r="N861" s="397"/>
      <c r="O861" s="397"/>
      <c r="P861" s="397"/>
      <c r="Q861" s="397"/>
      <c r="R861" s="397"/>
      <c r="S861" s="397"/>
      <c r="T861" s="397"/>
      <c r="U861" s="397"/>
    </row>
    <row r="862" spans="1:27" ht="16.5" thickBot="1">
      <c r="A862" s="4"/>
      <c r="B862" s="306" t="s">
        <v>12</v>
      </c>
      <c r="C862" s="307"/>
      <c r="D862" s="308"/>
      <c r="E862" s="307" t="s">
        <v>13</v>
      </c>
      <c r="F862" s="308"/>
      <c r="G862" s="312" t="s">
        <v>14</v>
      </c>
      <c r="H862" s="313"/>
      <c r="I862" s="313"/>
      <c r="J862" s="313"/>
      <c r="K862" s="313"/>
      <c r="L862" s="313"/>
      <c r="M862" s="313"/>
      <c r="N862" s="313"/>
      <c r="O862" s="313"/>
      <c r="P862" s="313"/>
      <c r="Q862" s="313"/>
      <c r="R862" s="313"/>
      <c r="S862" s="313"/>
      <c r="T862" s="313"/>
      <c r="U862" s="314"/>
    </row>
    <row r="863" spans="1:27" ht="15.75" thickBot="1">
      <c r="A863" s="4"/>
      <c r="B863" s="309"/>
      <c r="C863" s="310"/>
      <c r="D863" s="311"/>
      <c r="E863" s="310"/>
      <c r="F863" s="311"/>
      <c r="G863" s="315" t="s">
        <v>15</v>
      </c>
      <c r="H863" s="316"/>
      <c r="I863" s="267" t="s">
        <v>16</v>
      </c>
      <c r="J863" s="268"/>
      <c r="K863" s="268"/>
      <c r="L863" s="268"/>
      <c r="M863" s="268"/>
      <c r="N863" s="269"/>
      <c r="O863" s="403" t="s">
        <v>17</v>
      </c>
      <c r="P863" s="404"/>
      <c r="Q863" s="404"/>
      <c r="R863" s="404"/>
      <c r="S863" s="404"/>
      <c r="T863" s="404"/>
      <c r="U863" s="405"/>
    </row>
    <row r="864" spans="1:27">
      <c r="A864" s="4"/>
      <c r="B864" s="309"/>
      <c r="C864" s="310"/>
      <c r="D864" s="311"/>
      <c r="E864" s="310"/>
      <c r="F864" s="311"/>
      <c r="G864" s="317"/>
      <c r="H864" s="318"/>
      <c r="I864" s="315" t="s">
        <v>18</v>
      </c>
      <c r="J864" s="406"/>
      <c r="K864" s="406"/>
      <c r="L864" s="315" t="s">
        <v>19</v>
      </c>
      <c r="M864" s="406"/>
      <c r="N864" s="316"/>
      <c r="O864" s="408" t="s">
        <v>18</v>
      </c>
      <c r="P864" s="409"/>
      <c r="Q864" s="409"/>
      <c r="R864" s="315" t="s">
        <v>19</v>
      </c>
      <c r="S864" s="406"/>
      <c r="T864" s="406"/>
      <c r="U864" s="326" t="s">
        <v>20</v>
      </c>
      <c r="V864" s="200" t="s">
        <v>153</v>
      </c>
      <c r="W864" s="201"/>
      <c r="X864" s="200" t="s">
        <v>154</v>
      </c>
      <c r="Y864" s="201"/>
      <c r="Z864" s="200" t="s">
        <v>155</v>
      </c>
      <c r="AA864" s="201"/>
    </row>
    <row r="865" spans="1:27" ht="15.75" thickBot="1">
      <c r="A865" s="4"/>
      <c r="B865" s="398"/>
      <c r="C865" s="399"/>
      <c r="D865" s="400"/>
      <c r="E865" s="399"/>
      <c r="F865" s="400"/>
      <c r="G865" s="401"/>
      <c r="H865" s="402"/>
      <c r="I865" s="401"/>
      <c r="J865" s="407"/>
      <c r="K865" s="407"/>
      <c r="L865" s="401"/>
      <c r="M865" s="407"/>
      <c r="N865" s="402"/>
      <c r="O865" s="401"/>
      <c r="P865" s="407"/>
      <c r="Q865" s="407"/>
      <c r="R865" s="401"/>
      <c r="S865" s="407"/>
      <c r="T865" s="407"/>
      <c r="U865" s="327"/>
      <c r="V865" s="202"/>
      <c r="W865" s="203"/>
      <c r="X865" s="202"/>
      <c r="Y865" s="203"/>
      <c r="Z865" s="202"/>
      <c r="AA865" s="203"/>
    </row>
    <row r="866" spans="1:27">
      <c r="A866" s="4"/>
      <c r="B866" s="372" t="s">
        <v>59</v>
      </c>
      <c r="C866" s="373"/>
      <c r="D866" s="374"/>
      <c r="E866" s="375"/>
      <c r="F866" s="376"/>
      <c r="G866" s="377"/>
      <c r="H866" s="378"/>
      <c r="I866" s="379"/>
      <c r="J866" s="380"/>
      <c r="K866" s="378"/>
      <c r="L866" s="381"/>
      <c r="M866" s="380"/>
      <c r="N866" s="382"/>
      <c r="O866" s="383"/>
      <c r="P866" s="384"/>
      <c r="Q866" s="384"/>
      <c r="R866" s="384"/>
      <c r="S866" s="384"/>
      <c r="T866" s="384"/>
      <c r="U866" s="53"/>
    </row>
    <row r="867" spans="1:27">
      <c r="A867" s="4"/>
      <c r="B867" s="354" t="s">
        <v>76</v>
      </c>
      <c r="C867" s="362"/>
      <c r="D867" s="363"/>
      <c r="E867" s="364"/>
      <c r="F867" s="365"/>
      <c r="G867" s="366"/>
      <c r="H867" s="367"/>
      <c r="I867" s="371"/>
      <c r="J867" s="370"/>
      <c r="K867" s="370"/>
      <c r="L867" s="370"/>
      <c r="M867" s="370"/>
      <c r="N867" s="365"/>
      <c r="O867" s="371"/>
      <c r="P867" s="370"/>
      <c r="Q867" s="370"/>
      <c r="R867" s="370"/>
      <c r="S867" s="370"/>
      <c r="T867" s="370"/>
      <c r="U867" s="125"/>
    </row>
    <row r="868" spans="1:27">
      <c r="A868" s="4"/>
      <c r="B868" s="328" t="s">
        <v>56</v>
      </c>
      <c r="C868" s="329"/>
      <c r="D868" s="330"/>
      <c r="E868" s="331" t="s">
        <v>58</v>
      </c>
      <c r="F868" s="332"/>
      <c r="G868" s="348">
        <v>170</v>
      </c>
      <c r="H868" s="359"/>
      <c r="I868" s="350">
        <v>0</v>
      </c>
      <c r="J868" s="351"/>
      <c r="K868" s="349"/>
      <c r="L868" s="350">
        <v>0</v>
      </c>
      <c r="M868" s="351"/>
      <c r="N868" s="352"/>
      <c r="O868" s="353">
        <v>170</v>
      </c>
      <c r="P868" s="351"/>
      <c r="Q868" s="349"/>
      <c r="R868" s="350">
        <v>170</v>
      </c>
      <c r="S868" s="351"/>
      <c r="T868" s="349"/>
      <c r="U868" s="6">
        <f t="shared" ref="U868" si="231">R868/G868</f>
        <v>1</v>
      </c>
      <c r="V868" s="193">
        <f>+I868+O747</f>
        <v>170</v>
      </c>
      <c r="W868" s="193">
        <f>+O868-V868</f>
        <v>0</v>
      </c>
      <c r="X868" s="193">
        <f>+L868+R747</f>
        <v>170</v>
      </c>
      <c r="Y868" s="193">
        <f>+R868-X868</f>
        <v>0</v>
      </c>
      <c r="Z868" s="195">
        <f>+X868/G868</f>
        <v>1</v>
      </c>
      <c r="AA868" s="194">
        <f>+U868-Z868</f>
        <v>0</v>
      </c>
    </row>
    <row r="869" spans="1:27">
      <c r="A869" s="4"/>
      <c r="B869" s="328" t="s">
        <v>57</v>
      </c>
      <c r="C869" s="329"/>
      <c r="D869" s="330"/>
      <c r="E869" s="331" t="s">
        <v>58</v>
      </c>
      <c r="F869" s="332"/>
      <c r="G869" s="348">
        <v>4405</v>
      </c>
      <c r="H869" s="349"/>
      <c r="I869" s="350">
        <v>340</v>
      </c>
      <c r="J869" s="351"/>
      <c r="K869" s="349"/>
      <c r="L869" s="350">
        <v>340</v>
      </c>
      <c r="M869" s="351"/>
      <c r="N869" s="352"/>
      <c r="O869" s="353">
        <f>340+340+340+417+418+340+340+340</f>
        <v>2875</v>
      </c>
      <c r="P869" s="351"/>
      <c r="Q869" s="349"/>
      <c r="R869" s="350">
        <f>339+339+338+420+340+268+340+340</f>
        <v>2724</v>
      </c>
      <c r="S869" s="351"/>
      <c r="T869" s="349"/>
      <c r="U869" s="54">
        <f>R869/G869</f>
        <v>0.61838819523269017</v>
      </c>
      <c r="V869" s="193">
        <f>+I869+O748</f>
        <v>2875</v>
      </c>
      <c r="W869" s="193">
        <f>+O869-V869</f>
        <v>0</v>
      </c>
      <c r="X869" s="193">
        <f>+L869+R748</f>
        <v>2724</v>
      </c>
      <c r="Y869" s="193">
        <f>+R869-X869</f>
        <v>0</v>
      </c>
      <c r="Z869" s="195">
        <f>+X869/G869</f>
        <v>0.61838819523269017</v>
      </c>
      <c r="AA869" s="194">
        <f>+U869-Z869</f>
        <v>0</v>
      </c>
    </row>
    <row r="870" spans="1:27" ht="15" customHeight="1">
      <c r="A870" s="4"/>
      <c r="B870" s="354" t="s">
        <v>77</v>
      </c>
      <c r="C870" s="362"/>
      <c r="D870" s="363"/>
      <c r="E870" s="364"/>
      <c r="F870" s="365"/>
      <c r="G870" s="366"/>
      <c r="H870" s="367"/>
      <c r="I870" s="371"/>
      <c r="J870" s="370"/>
      <c r="K870" s="370"/>
      <c r="L870" s="370"/>
      <c r="M870" s="370"/>
      <c r="N870" s="365"/>
      <c r="O870" s="371"/>
      <c r="P870" s="370"/>
      <c r="Q870" s="370"/>
      <c r="R870" s="370"/>
      <c r="S870" s="370"/>
      <c r="T870" s="370"/>
      <c r="U870" s="125"/>
    </row>
    <row r="871" spans="1:27">
      <c r="A871" s="4"/>
      <c r="B871" s="328" t="s">
        <v>56</v>
      </c>
      <c r="C871" s="329"/>
      <c r="D871" s="330"/>
      <c r="E871" s="331" t="s">
        <v>58</v>
      </c>
      <c r="F871" s="332"/>
      <c r="G871" s="348">
        <v>35</v>
      </c>
      <c r="H871" s="359"/>
      <c r="I871" s="350">
        <v>0</v>
      </c>
      <c r="J871" s="351"/>
      <c r="K871" s="349"/>
      <c r="L871" s="350">
        <v>0</v>
      </c>
      <c r="M871" s="351"/>
      <c r="N871" s="352"/>
      <c r="O871" s="353">
        <v>35</v>
      </c>
      <c r="P871" s="351"/>
      <c r="Q871" s="349"/>
      <c r="R871" s="350">
        <v>35</v>
      </c>
      <c r="S871" s="351"/>
      <c r="T871" s="349"/>
      <c r="U871" s="6">
        <f t="shared" ref="U871" si="232">R871/G871</f>
        <v>1</v>
      </c>
      <c r="V871" s="193">
        <f t="shared" ref="V871:V872" si="233">+I871+O750</f>
        <v>35</v>
      </c>
      <c r="W871" s="193">
        <f t="shared" ref="W871:W872" si="234">+O871-V871</f>
        <v>0</v>
      </c>
      <c r="X871" s="193">
        <f t="shared" ref="X871:X872" si="235">+L871+R750</f>
        <v>35</v>
      </c>
      <c r="Y871" s="193">
        <f t="shared" ref="Y871:Y872" si="236">+R871-X871</f>
        <v>0</v>
      </c>
      <c r="Z871" s="195">
        <f t="shared" ref="Z871:Z872" si="237">+X871/G871</f>
        <v>1</v>
      </c>
      <c r="AA871" s="194">
        <f t="shared" ref="AA871:AA872" si="238">+U871-Z871</f>
        <v>0</v>
      </c>
    </row>
    <row r="872" spans="1:27">
      <c r="A872" s="4"/>
      <c r="B872" s="328" t="s">
        <v>57</v>
      </c>
      <c r="C872" s="329"/>
      <c r="D872" s="330"/>
      <c r="E872" s="331" t="s">
        <v>58</v>
      </c>
      <c r="F872" s="332"/>
      <c r="G872" s="348">
        <v>907</v>
      </c>
      <c r="H872" s="349"/>
      <c r="I872" s="360">
        <v>70</v>
      </c>
      <c r="J872" s="341"/>
      <c r="K872" s="361"/>
      <c r="L872" s="350">
        <v>70</v>
      </c>
      <c r="M872" s="351"/>
      <c r="N872" s="352"/>
      <c r="O872" s="353">
        <f>70+70+70+88+84+70+70+70</f>
        <v>592</v>
      </c>
      <c r="P872" s="351"/>
      <c r="Q872" s="349"/>
      <c r="R872" s="350">
        <f>70+70+70+88+69+55+70+70</f>
        <v>562</v>
      </c>
      <c r="S872" s="351"/>
      <c r="T872" s="349"/>
      <c r="U872" s="54">
        <f>R872/G872</f>
        <v>0.61962513781697903</v>
      </c>
      <c r="V872" s="193">
        <f t="shared" si="233"/>
        <v>592</v>
      </c>
      <c r="W872" s="193">
        <f t="shared" si="234"/>
        <v>0</v>
      </c>
      <c r="X872" s="193">
        <f t="shared" si="235"/>
        <v>562</v>
      </c>
      <c r="Y872" s="193">
        <f t="shared" si="236"/>
        <v>0</v>
      </c>
      <c r="Z872" s="195">
        <f t="shared" si="237"/>
        <v>0.61962513781697903</v>
      </c>
      <c r="AA872" s="194">
        <f t="shared" si="238"/>
        <v>0</v>
      </c>
    </row>
    <row r="873" spans="1:27" ht="15" customHeight="1">
      <c r="A873" s="4"/>
      <c r="B873" s="354" t="s">
        <v>78</v>
      </c>
      <c r="C873" s="362"/>
      <c r="D873" s="363"/>
      <c r="E873" s="364"/>
      <c r="F873" s="365"/>
      <c r="G873" s="366"/>
      <c r="H873" s="367"/>
      <c r="I873" s="368"/>
      <c r="J873" s="369"/>
      <c r="K873" s="369"/>
      <c r="L873" s="370"/>
      <c r="M873" s="370"/>
      <c r="N873" s="365"/>
      <c r="O873" s="371"/>
      <c r="P873" s="370"/>
      <c r="Q873" s="370"/>
      <c r="R873" s="370"/>
      <c r="S873" s="370"/>
      <c r="T873" s="370"/>
      <c r="U873" s="125"/>
    </row>
    <row r="874" spans="1:27">
      <c r="A874" s="4"/>
      <c r="B874" s="328" t="s">
        <v>56</v>
      </c>
      <c r="C874" s="329"/>
      <c r="D874" s="330"/>
      <c r="E874" s="331" t="s">
        <v>58</v>
      </c>
      <c r="F874" s="332"/>
      <c r="G874" s="348">
        <v>35</v>
      </c>
      <c r="H874" s="359"/>
      <c r="I874" s="360">
        <v>0</v>
      </c>
      <c r="J874" s="341"/>
      <c r="K874" s="361"/>
      <c r="L874" s="350">
        <v>0</v>
      </c>
      <c r="M874" s="351"/>
      <c r="N874" s="352"/>
      <c r="O874" s="353">
        <v>35</v>
      </c>
      <c r="P874" s="351"/>
      <c r="Q874" s="349"/>
      <c r="R874" s="350">
        <v>35</v>
      </c>
      <c r="S874" s="351"/>
      <c r="T874" s="349"/>
      <c r="U874" s="6">
        <f t="shared" ref="U874" si="239">R874/G874</f>
        <v>1</v>
      </c>
      <c r="V874" s="193">
        <f t="shared" ref="V874:V875" si="240">+I874+O753</f>
        <v>35</v>
      </c>
      <c r="W874" s="193">
        <f t="shared" ref="W874:W875" si="241">+O874-V874</f>
        <v>0</v>
      </c>
      <c r="X874" s="193">
        <f t="shared" ref="X874:X875" si="242">+L874+R753</f>
        <v>35</v>
      </c>
      <c r="Y874" s="193">
        <f t="shared" ref="Y874:Y875" si="243">+R874-X874</f>
        <v>0</v>
      </c>
      <c r="Z874" s="195">
        <f t="shared" ref="Z874:Z875" si="244">+X874/G874</f>
        <v>1</v>
      </c>
      <c r="AA874" s="194">
        <f t="shared" ref="AA874:AA875" si="245">+U874-Z874</f>
        <v>0</v>
      </c>
    </row>
    <row r="875" spans="1:27">
      <c r="A875" s="4"/>
      <c r="B875" s="328" t="s">
        <v>57</v>
      </c>
      <c r="C875" s="329"/>
      <c r="D875" s="330"/>
      <c r="E875" s="331" t="s">
        <v>58</v>
      </c>
      <c r="F875" s="332"/>
      <c r="G875" s="348">
        <v>907</v>
      </c>
      <c r="H875" s="349"/>
      <c r="I875" s="360">
        <v>70</v>
      </c>
      <c r="J875" s="341"/>
      <c r="K875" s="361"/>
      <c r="L875" s="350">
        <v>70</v>
      </c>
      <c r="M875" s="351"/>
      <c r="N875" s="352"/>
      <c r="O875" s="353">
        <f>70+70+70+88+84+70+70+70</f>
        <v>592</v>
      </c>
      <c r="P875" s="351"/>
      <c r="Q875" s="349"/>
      <c r="R875" s="350">
        <f>70+70+70+88+69+55+70+70</f>
        <v>562</v>
      </c>
      <c r="S875" s="351"/>
      <c r="T875" s="349"/>
      <c r="U875" s="54">
        <f>R875/G875</f>
        <v>0.61962513781697903</v>
      </c>
      <c r="V875" s="193">
        <f t="shared" si="240"/>
        <v>592</v>
      </c>
      <c r="W875" s="193">
        <f t="shared" si="241"/>
        <v>0</v>
      </c>
      <c r="X875" s="193">
        <f t="shared" si="242"/>
        <v>562</v>
      </c>
      <c r="Y875" s="193">
        <f t="shared" si="243"/>
        <v>0</v>
      </c>
      <c r="Z875" s="195">
        <f t="shared" si="244"/>
        <v>0.61962513781697903</v>
      </c>
      <c r="AA875" s="194">
        <f t="shared" si="245"/>
        <v>0</v>
      </c>
    </row>
    <row r="876" spans="1:27" ht="15" customHeight="1">
      <c r="A876" s="4"/>
      <c r="B876" s="354" t="s">
        <v>79</v>
      </c>
      <c r="C876" s="362"/>
      <c r="D876" s="363"/>
      <c r="E876" s="364"/>
      <c r="F876" s="365"/>
      <c r="G876" s="366"/>
      <c r="H876" s="367"/>
      <c r="I876" s="368"/>
      <c r="J876" s="369"/>
      <c r="K876" s="369"/>
      <c r="L876" s="370"/>
      <c r="M876" s="370"/>
      <c r="N876" s="365"/>
      <c r="O876" s="371"/>
      <c r="P876" s="370"/>
      <c r="Q876" s="370"/>
      <c r="R876" s="370"/>
      <c r="S876" s="370"/>
      <c r="T876" s="370"/>
      <c r="U876" s="125"/>
    </row>
    <row r="877" spans="1:27">
      <c r="A877" s="4"/>
      <c r="B877" s="328" t="s">
        <v>56</v>
      </c>
      <c r="C877" s="329"/>
      <c r="D877" s="330"/>
      <c r="E877" s="331" t="s">
        <v>58</v>
      </c>
      <c r="F877" s="332"/>
      <c r="G877" s="348">
        <v>96</v>
      </c>
      <c r="H877" s="359"/>
      <c r="I877" s="360">
        <v>0</v>
      </c>
      <c r="J877" s="341"/>
      <c r="K877" s="361"/>
      <c r="L877" s="350">
        <v>0</v>
      </c>
      <c r="M877" s="351"/>
      <c r="N877" s="352"/>
      <c r="O877" s="353">
        <v>96</v>
      </c>
      <c r="P877" s="351"/>
      <c r="Q877" s="349"/>
      <c r="R877" s="350">
        <v>96</v>
      </c>
      <c r="S877" s="351"/>
      <c r="T877" s="349"/>
      <c r="U877" s="54">
        <f t="shared" ref="U877" si="246">R877/G877</f>
        <v>1</v>
      </c>
      <c r="V877" s="193">
        <f t="shared" ref="V877:V878" si="247">+I877+O756</f>
        <v>96</v>
      </c>
      <c r="W877" s="193">
        <f t="shared" ref="W877:W878" si="248">+O877-V877</f>
        <v>0</v>
      </c>
      <c r="X877" s="193">
        <f t="shared" ref="X877:X878" si="249">+L877+R756</f>
        <v>96</v>
      </c>
      <c r="Y877" s="193">
        <f t="shared" ref="Y877:Y878" si="250">+R877-X877</f>
        <v>0</v>
      </c>
      <c r="Z877" s="195">
        <f t="shared" ref="Z877:Z878" si="251">+X877/G877</f>
        <v>1</v>
      </c>
      <c r="AA877" s="194">
        <f t="shared" ref="AA877:AA878" si="252">+U877-Z877</f>
        <v>0</v>
      </c>
    </row>
    <row r="878" spans="1:27">
      <c r="A878" s="4"/>
      <c r="B878" s="328" t="s">
        <v>57</v>
      </c>
      <c r="C878" s="329"/>
      <c r="D878" s="330"/>
      <c r="E878" s="331" t="s">
        <v>58</v>
      </c>
      <c r="F878" s="332"/>
      <c r="G878" s="348">
        <v>1440</v>
      </c>
      <c r="H878" s="349"/>
      <c r="I878" s="360">
        <v>192</v>
      </c>
      <c r="J878" s="341"/>
      <c r="K878" s="361"/>
      <c r="L878" s="350">
        <v>192</v>
      </c>
      <c r="M878" s="351"/>
      <c r="N878" s="352"/>
      <c r="O878" s="353">
        <f>126+258+192+192+192</f>
        <v>960</v>
      </c>
      <c r="P878" s="351"/>
      <c r="Q878" s="349"/>
      <c r="R878" s="350">
        <f>126+258+192+192+192</f>
        <v>960</v>
      </c>
      <c r="S878" s="351"/>
      <c r="T878" s="349"/>
      <c r="U878" s="54">
        <f>R878/G878</f>
        <v>0.66666666666666663</v>
      </c>
      <c r="V878" s="193">
        <f t="shared" si="247"/>
        <v>960</v>
      </c>
      <c r="W878" s="193">
        <f t="shared" si="248"/>
        <v>0</v>
      </c>
      <c r="X878" s="193">
        <f t="shared" si="249"/>
        <v>960</v>
      </c>
      <c r="Y878" s="193">
        <f t="shared" si="250"/>
        <v>0</v>
      </c>
      <c r="Z878" s="195">
        <f t="shared" si="251"/>
        <v>0.66666666666666663</v>
      </c>
      <c r="AA878" s="194">
        <f t="shared" si="252"/>
        <v>0</v>
      </c>
    </row>
    <row r="879" spans="1:27">
      <c r="A879" s="4"/>
      <c r="B879" s="354" t="s">
        <v>63</v>
      </c>
      <c r="C879" s="355"/>
      <c r="D879" s="356"/>
      <c r="E879" s="357"/>
      <c r="F879" s="358"/>
      <c r="G879" s="348"/>
      <c r="H879" s="349"/>
      <c r="I879" s="360"/>
      <c r="J879" s="341"/>
      <c r="K879" s="361"/>
      <c r="L879" s="353"/>
      <c r="M879" s="351"/>
      <c r="N879" s="352"/>
      <c r="O879" s="353"/>
      <c r="P879" s="351"/>
      <c r="Q879" s="351"/>
      <c r="R879" s="351"/>
      <c r="S879" s="351"/>
      <c r="T879" s="351"/>
      <c r="U879" s="6"/>
    </row>
    <row r="880" spans="1:27">
      <c r="A880" s="4"/>
      <c r="B880" s="328" t="s">
        <v>60</v>
      </c>
      <c r="C880" s="329"/>
      <c r="D880" s="330"/>
      <c r="E880" s="331" t="s">
        <v>58</v>
      </c>
      <c r="F880" s="332"/>
      <c r="G880" s="348">
        <v>12</v>
      </c>
      <c r="H880" s="359"/>
      <c r="I880" s="350">
        <v>2</v>
      </c>
      <c r="J880" s="351"/>
      <c r="K880" s="349"/>
      <c r="L880" s="350">
        <v>2</v>
      </c>
      <c r="M880" s="351"/>
      <c r="N880" s="352"/>
      <c r="O880" s="353">
        <f>2+2+2</f>
        <v>6</v>
      </c>
      <c r="P880" s="351"/>
      <c r="Q880" s="349"/>
      <c r="R880" s="350">
        <f>2+2+2</f>
        <v>6</v>
      </c>
      <c r="S880" s="351"/>
      <c r="T880" s="349"/>
      <c r="U880" s="54">
        <f>R880/G880</f>
        <v>0.5</v>
      </c>
      <c r="V880" s="193">
        <f>+I880+O759</f>
        <v>6</v>
      </c>
      <c r="W880" s="193">
        <f>+O880-V880</f>
        <v>0</v>
      </c>
      <c r="X880" s="193">
        <f>+L880+R759</f>
        <v>6</v>
      </c>
      <c r="Y880" s="193">
        <f>+R880-X880</f>
        <v>0</v>
      </c>
      <c r="Z880" s="195">
        <f>+X880/G880</f>
        <v>0.5</v>
      </c>
      <c r="AA880" s="194">
        <f>+U880-Z880</f>
        <v>0</v>
      </c>
    </row>
    <row r="881" spans="1:27">
      <c r="A881" s="4"/>
      <c r="B881" s="354" t="s">
        <v>61</v>
      </c>
      <c r="C881" s="355"/>
      <c r="D881" s="356"/>
      <c r="E881" s="357"/>
      <c r="F881" s="358"/>
      <c r="G881" s="348"/>
      <c r="H881" s="349"/>
      <c r="I881" s="350"/>
      <c r="J881" s="351"/>
      <c r="K881" s="349"/>
      <c r="L881" s="353"/>
      <c r="M881" s="351"/>
      <c r="N881" s="352"/>
      <c r="O881" s="353"/>
      <c r="P881" s="351"/>
      <c r="Q881" s="351"/>
      <c r="R881" s="351"/>
      <c r="S881" s="351"/>
      <c r="T881" s="351"/>
      <c r="U881" s="6"/>
    </row>
    <row r="882" spans="1:27" ht="15" customHeight="1">
      <c r="A882" s="4"/>
      <c r="B882" s="328" t="s">
        <v>61</v>
      </c>
      <c r="C882" s="329"/>
      <c r="D882" s="330"/>
      <c r="E882" s="331" t="s">
        <v>58</v>
      </c>
      <c r="F882" s="332"/>
      <c r="G882" s="348">
        <v>15</v>
      </c>
      <c r="H882" s="349"/>
      <c r="I882" s="350">
        <v>5</v>
      </c>
      <c r="J882" s="351"/>
      <c r="K882" s="349"/>
      <c r="L882" s="350">
        <v>0</v>
      </c>
      <c r="M882" s="351"/>
      <c r="N882" s="352"/>
      <c r="O882" s="353">
        <f>5+5</f>
        <v>10</v>
      </c>
      <c r="P882" s="351"/>
      <c r="Q882" s="349"/>
      <c r="R882" s="350">
        <f>0+5+0</f>
        <v>5</v>
      </c>
      <c r="S882" s="351"/>
      <c r="T882" s="349"/>
      <c r="U882" s="54">
        <f>R882/G882</f>
        <v>0.33333333333333331</v>
      </c>
      <c r="V882" s="193">
        <f>+I882+O761</f>
        <v>10</v>
      </c>
      <c r="W882" s="193">
        <f>+O882-V882</f>
        <v>0</v>
      </c>
      <c r="X882" s="193">
        <f>+L882+R761</f>
        <v>5</v>
      </c>
      <c r="Y882" s="193">
        <f>+R882-X882</f>
        <v>0</v>
      </c>
      <c r="Z882" s="195">
        <f>+X882/G882</f>
        <v>0.33333333333333331</v>
      </c>
      <c r="AA882" s="194">
        <f>+U882-Z882</f>
        <v>0</v>
      </c>
    </row>
    <row r="883" spans="1:27" ht="15" customHeight="1">
      <c r="A883" s="4"/>
      <c r="B883" s="354" t="s">
        <v>62</v>
      </c>
      <c r="C883" s="355"/>
      <c r="D883" s="356"/>
      <c r="E883" s="357"/>
      <c r="F883" s="358"/>
      <c r="G883" s="348"/>
      <c r="H883" s="349"/>
      <c r="I883" s="350"/>
      <c r="J883" s="351"/>
      <c r="K883" s="349"/>
      <c r="L883" s="353"/>
      <c r="M883" s="351"/>
      <c r="N883" s="352"/>
      <c r="O883" s="353"/>
      <c r="P883" s="351"/>
      <c r="Q883" s="351"/>
      <c r="R883" s="351"/>
      <c r="S883" s="351"/>
      <c r="T883" s="351"/>
      <c r="U883" s="6"/>
    </row>
    <row r="884" spans="1:27" ht="15" customHeight="1" thickBot="1">
      <c r="A884" s="4"/>
      <c r="B884" s="328" t="s">
        <v>62</v>
      </c>
      <c r="C884" s="329"/>
      <c r="D884" s="330"/>
      <c r="E884" s="331" t="s">
        <v>58</v>
      </c>
      <c r="F884" s="332"/>
      <c r="G884" s="333">
        <v>1</v>
      </c>
      <c r="H884" s="334"/>
      <c r="I884" s="335">
        <v>0</v>
      </c>
      <c r="J884" s="336"/>
      <c r="K884" s="334"/>
      <c r="L884" s="458">
        <v>0</v>
      </c>
      <c r="M884" s="336"/>
      <c r="N884" s="459"/>
      <c r="O884" s="353">
        <v>0</v>
      </c>
      <c r="P884" s="351"/>
      <c r="Q884" s="351"/>
      <c r="R884" s="351">
        <v>0</v>
      </c>
      <c r="S884" s="351"/>
      <c r="T884" s="351"/>
      <c r="U884" s="54">
        <f>R884/G884</f>
        <v>0</v>
      </c>
      <c r="V884" s="193">
        <f>+I884+O763</f>
        <v>0</v>
      </c>
      <c r="W884" s="193">
        <f>+O884-V884</f>
        <v>0</v>
      </c>
      <c r="X884" s="193">
        <f>+L884+R763</f>
        <v>0</v>
      </c>
      <c r="Y884" s="193">
        <f>+R884-X884</f>
        <v>0</v>
      </c>
      <c r="Z884" s="195">
        <f>+X884/G884</f>
        <v>0</v>
      </c>
      <c r="AA884" s="194">
        <f>+U884-Z884</f>
        <v>0</v>
      </c>
    </row>
    <row r="885" spans="1:27" ht="15.75" thickBot="1">
      <c r="A885" s="4"/>
      <c r="B885" s="342" t="s">
        <v>21</v>
      </c>
      <c r="C885" s="343"/>
      <c r="D885" s="343"/>
      <c r="E885" s="343"/>
      <c r="F885" s="344"/>
      <c r="G885" s="345"/>
      <c r="H885" s="346"/>
      <c r="I885" s="346"/>
      <c r="J885" s="346"/>
      <c r="K885" s="346"/>
      <c r="L885" s="346"/>
      <c r="M885" s="346"/>
      <c r="N885" s="347"/>
      <c r="O885" s="345"/>
      <c r="P885" s="346"/>
      <c r="Q885" s="346"/>
      <c r="R885" s="346"/>
      <c r="S885" s="346"/>
      <c r="T885" s="346"/>
      <c r="U885" s="347"/>
    </row>
    <row r="886" spans="1:27" ht="15.75" thickBot="1">
      <c r="B886" s="7"/>
      <c r="C886" s="8"/>
      <c r="D886" s="9"/>
      <c r="E886" s="10"/>
      <c r="F886" s="11"/>
      <c r="G886" s="12"/>
      <c r="H886" s="13"/>
      <c r="I886" s="14"/>
      <c r="J886" s="14"/>
      <c r="K886" s="15"/>
      <c r="L886" s="14"/>
      <c r="M886" s="15"/>
      <c r="N886" s="14"/>
      <c r="O886" s="14"/>
      <c r="P886" s="14"/>
      <c r="Q886" s="14"/>
      <c r="R886" s="15"/>
      <c r="S886" s="14"/>
      <c r="T886" s="12"/>
      <c r="U886" s="14"/>
    </row>
    <row r="887" spans="1:27" ht="16.5" customHeight="1" thickBot="1">
      <c r="A887" s="4"/>
      <c r="B887" s="306" t="s">
        <v>22</v>
      </c>
      <c r="C887" s="307"/>
      <c r="D887" s="307"/>
      <c r="E887" s="307"/>
      <c r="F887" s="308"/>
      <c r="G887" s="312" t="s">
        <v>129</v>
      </c>
      <c r="H887" s="313"/>
      <c r="I887" s="313"/>
      <c r="J887" s="313"/>
      <c r="K887" s="313"/>
      <c r="L887" s="313"/>
      <c r="M887" s="313"/>
      <c r="N887" s="313"/>
      <c r="O887" s="313"/>
      <c r="P887" s="313"/>
      <c r="Q887" s="313"/>
      <c r="R887" s="313"/>
      <c r="S887" s="313"/>
      <c r="T887" s="313"/>
      <c r="U887" s="314"/>
    </row>
    <row r="888" spans="1:27" ht="15.75" thickBot="1">
      <c r="A888" s="4"/>
      <c r="B888" s="309"/>
      <c r="C888" s="310"/>
      <c r="D888" s="310"/>
      <c r="E888" s="310"/>
      <c r="F888" s="311"/>
      <c r="G888" s="315" t="s">
        <v>24</v>
      </c>
      <c r="H888" s="316"/>
      <c r="I888" s="310" t="s">
        <v>16</v>
      </c>
      <c r="J888" s="310"/>
      <c r="K888" s="310"/>
      <c r="L888" s="310"/>
      <c r="M888" s="310"/>
      <c r="N888" s="311"/>
      <c r="O888" s="321" t="s">
        <v>17</v>
      </c>
      <c r="P888" s="322"/>
      <c r="Q888" s="322"/>
      <c r="R888" s="322"/>
      <c r="S888" s="322"/>
      <c r="T888" s="322"/>
      <c r="U888" s="323"/>
    </row>
    <row r="889" spans="1:27" ht="15.75" customHeight="1" thickBot="1">
      <c r="A889" s="4"/>
      <c r="B889" s="309"/>
      <c r="C889" s="310"/>
      <c r="D889" s="310"/>
      <c r="E889" s="310"/>
      <c r="F889" s="311"/>
      <c r="G889" s="317"/>
      <c r="H889" s="318"/>
      <c r="I889" s="267" t="s">
        <v>18</v>
      </c>
      <c r="J889" s="268"/>
      <c r="K889" s="269"/>
      <c r="L889" s="267" t="s">
        <v>25</v>
      </c>
      <c r="M889" s="268"/>
      <c r="N889" s="269"/>
      <c r="O889" s="267" t="s">
        <v>18</v>
      </c>
      <c r="P889" s="268"/>
      <c r="Q889" s="324"/>
      <c r="R889" s="325" t="s">
        <v>25</v>
      </c>
      <c r="S889" s="268"/>
      <c r="T889" s="269"/>
      <c r="U889" s="326" t="s">
        <v>20</v>
      </c>
      <c r="V889" s="200" t="s">
        <v>153</v>
      </c>
      <c r="W889" s="201"/>
      <c r="X889" s="200" t="s">
        <v>154</v>
      </c>
      <c r="Y889" s="201"/>
      <c r="Z889" s="200" t="s">
        <v>155</v>
      </c>
      <c r="AA889" s="201"/>
    </row>
    <row r="890" spans="1:27" ht="25.5" customHeight="1" thickBot="1">
      <c r="A890" s="4"/>
      <c r="B890" s="309"/>
      <c r="C890" s="310"/>
      <c r="D890" s="310"/>
      <c r="E890" s="310"/>
      <c r="F890" s="311"/>
      <c r="G890" s="319"/>
      <c r="H890" s="320"/>
      <c r="I890" s="122" t="s">
        <v>26</v>
      </c>
      <c r="J890" s="124" t="s">
        <v>27</v>
      </c>
      <c r="K890" s="124" t="s">
        <v>28</v>
      </c>
      <c r="L890" s="122" t="s">
        <v>26</v>
      </c>
      <c r="M890" s="124" t="s">
        <v>27</v>
      </c>
      <c r="N890" s="123" t="s">
        <v>28</v>
      </c>
      <c r="O890" s="19" t="s">
        <v>26</v>
      </c>
      <c r="P890" s="122" t="s">
        <v>27</v>
      </c>
      <c r="Q890" s="20" t="s">
        <v>28</v>
      </c>
      <c r="R890" s="21" t="s">
        <v>26</v>
      </c>
      <c r="S890" s="121" t="s">
        <v>27</v>
      </c>
      <c r="T890" s="124" t="s">
        <v>28</v>
      </c>
      <c r="U890" s="327"/>
      <c r="V890" s="202"/>
      <c r="W890" s="203"/>
      <c r="X890" s="202"/>
      <c r="Y890" s="203"/>
      <c r="Z890" s="202"/>
      <c r="AA890" s="203"/>
    </row>
    <row r="891" spans="1:27" ht="15.75" thickBot="1">
      <c r="A891" s="4"/>
      <c r="B891" s="302" t="s">
        <v>29</v>
      </c>
      <c r="C891" s="303"/>
      <c r="D891" s="303"/>
      <c r="E891" s="303"/>
      <c r="F891" s="303"/>
      <c r="G891" s="303"/>
      <c r="H891" s="303"/>
      <c r="I891" s="303"/>
      <c r="J891" s="303"/>
      <c r="K891" s="303"/>
      <c r="L891" s="303"/>
      <c r="M891" s="303"/>
      <c r="N891" s="303"/>
      <c r="O891" s="303"/>
      <c r="P891" s="303"/>
      <c r="Q891" s="303"/>
      <c r="R891" s="303"/>
      <c r="S891" s="303"/>
      <c r="T891" s="303"/>
      <c r="U891" s="304"/>
    </row>
    <row r="892" spans="1:27" s="40" customFormat="1" ht="15.75" customHeight="1">
      <c r="A892" s="152"/>
      <c r="B892" s="287" t="s">
        <v>82</v>
      </c>
      <c r="C892" s="288"/>
      <c r="D892" s="288"/>
      <c r="E892" s="288"/>
      <c r="F892" s="289"/>
      <c r="G892" s="290">
        <v>1908</v>
      </c>
      <c r="H892" s="305"/>
      <c r="I892" s="158">
        <v>0</v>
      </c>
      <c r="J892" s="141">
        <v>0</v>
      </c>
      <c r="K892" s="141">
        <v>0</v>
      </c>
      <c r="L892" s="141">
        <v>0</v>
      </c>
      <c r="M892" s="141">
        <v>0</v>
      </c>
      <c r="N892" s="141">
        <v>0</v>
      </c>
      <c r="O892" s="141">
        <v>1908</v>
      </c>
      <c r="P892" s="141">
        <v>0</v>
      </c>
      <c r="Q892" s="154">
        <v>0</v>
      </c>
      <c r="R892" s="141">
        <v>0</v>
      </c>
      <c r="S892" s="141">
        <v>0</v>
      </c>
      <c r="T892" s="154">
        <v>0</v>
      </c>
      <c r="U892" s="155">
        <f>R892/G892</f>
        <v>0</v>
      </c>
      <c r="V892" s="128">
        <f>+I892+O771</f>
        <v>1908</v>
      </c>
      <c r="W892" s="128">
        <f>+O892-V892</f>
        <v>0</v>
      </c>
      <c r="X892" s="128">
        <f>+L892+R771</f>
        <v>0</v>
      </c>
      <c r="Y892" s="128">
        <f>+R892-X892</f>
        <v>0</v>
      </c>
      <c r="Z892" s="195">
        <f>+X892/G892</f>
        <v>0</v>
      </c>
      <c r="AA892" s="194">
        <f>+U892-Z892</f>
        <v>0</v>
      </c>
    </row>
    <row r="893" spans="1:27" s="40" customFormat="1">
      <c r="A893" s="152"/>
      <c r="B893" s="274" t="s">
        <v>83</v>
      </c>
      <c r="C893" s="275"/>
      <c r="D893" s="275"/>
      <c r="E893" s="275"/>
      <c r="F893" s="276"/>
      <c r="G893" s="277">
        <v>9000</v>
      </c>
      <c r="H893" s="292"/>
      <c r="I893" s="142">
        <v>0</v>
      </c>
      <c r="J893" s="117">
        <v>0</v>
      </c>
      <c r="K893" s="117">
        <v>0</v>
      </c>
      <c r="L893" s="117">
        <v>0</v>
      </c>
      <c r="M893" s="117">
        <v>0</v>
      </c>
      <c r="N893" s="117">
        <v>0</v>
      </c>
      <c r="O893" s="117">
        <f>3000+3000</f>
        <v>6000</v>
      </c>
      <c r="P893" s="117">
        <v>0</v>
      </c>
      <c r="Q893" s="117">
        <v>0</v>
      </c>
      <c r="R893" s="117">
        <f>0+4242.4</f>
        <v>4242.3999999999996</v>
      </c>
      <c r="S893" s="117">
        <v>0</v>
      </c>
      <c r="T893" s="117">
        <v>0</v>
      </c>
      <c r="U893" s="153">
        <f>R893/G893</f>
        <v>0.47137777777777773</v>
      </c>
      <c r="V893" s="128">
        <f t="shared" ref="V893:V912" si="253">+I893+O772</f>
        <v>6000</v>
      </c>
      <c r="W893" s="128">
        <f t="shared" ref="W893:W912" si="254">+O893-V893</f>
        <v>0</v>
      </c>
      <c r="X893" s="128">
        <f t="shared" ref="X893:X912" si="255">+L893+R772</f>
        <v>4242.3999999999996</v>
      </c>
      <c r="Y893" s="128">
        <f t="shared" ref="Y893:Y912" si="256">+R893-X893</f>
        <v>0</v>
      </c>
      <c r="Z893" s="195">
        <f t="shared" ref="Z893:Z912" si="257">+X893/G893</f>
        <v>0.47137777777777773</v>
      </c>
      <c r="AA893" s="194">
        <f t="shared" ref="AA893:AA912" si="258">+U893-Z893</f>
        <v>0</v>
      </c>
    </row>
    <row r="894" spans="1:27" s="40" customFormat="1">
      <c r="A894" s="166"/>
      <c r="B894" s="274" t="s">
        <v>84</v>
      </c>
      <c r="C894" s="275"/>
      <c r="D894" s="275"/>
      <c r="E894" s="275"/>
      <c r="F894" s="276"/>
      <c r="G894" s="277">
        <v>15000</v>
      </c>
      <c r="H894" s="292"/>
      <c r="I894" s="142">
        <v>0</v>
      </c>
      <c r="J894" s="117">
        <v>0</v>
      </c>
      <c r="K894" s="117">
        <v>0</v>
      </c>
      <c r="L894" s="117">
        <v>0</v>
      </c>
      <c r="M894" s="117">
        <v>0</v>
      </c>
      <c r="N894" s="117">
        <v>0</v>
      </c>
      <c r="O894" s="117">
        <v>15000</v>
      </c>
      <c r="P894" s="117">
        <v>0</v>
      </c>
      <c r="Q894" s="117">
        <v>0</v>
      </c>
      <c r="R894" s="117">
        <v>0</v>
      </c>
      <c r="S894" s="117">
        <v>0</v>
      </c>
      <c r="T894" s="117">
        <v>0</v>
      </c>
      <c r="U894" s="153">
        <f>R894/G894</f>
        <v>0</v>
      </c>
      <c r="V894" s="128">
        <f t="shared" si="253"/>
        <v>15000</v>
      </c>
      <c r="W894" s="128">
        <f t="shared" si="254"/>
        <v>0</v>
      </c>
      <c r="X894" s="128">
        <f t="shared" si="255"/>
        <v>0</v>
      </c>
      <c r="Y894" s="128">
        <f t="shared" si="256"/>
        <v>0</v>
      </c>
      <c r="Z894" s="195">
        <f t="shared" si="257"/>
        <v>0</v>
      </c>
      <c r="AA894" s="194">
        <f t="shared" si="258"/>
        <v>0</v>
      </c>
    </row>
    <row r="895" spans="1:27" s="40" customFormat="1">
      <c r="A895" s="152"/>
      <c r="B895" s="274" t="s">
        <v>85</v>
      </c>
      <c r="C895" s="275"/>
      <c r="D895" s="275"/>
      <c r="E895" s="275"/>
      <c r="F895" s="276"/>
      <c r="G895" s="277">
        <v>2000</v>
      </c>
      <c r="H895" s="292"/>
      <c r="I895" s="142">
        <v>0</v>
      </c>
      <c r="J895" s="117">
        <v>0</v>
      </c>
      <c r="K895" s="117">
        <v>0</v>
      </c>
      <c r="L895" s="117">
        <v>0</v>
      </c>
      <c r="M895" s="117">
        <v>0</v>
      </c>
      <c r="N895" s="117">
        <v>0</v>
      </c>
      <c r="O895" s="117">
        <v>2000</v>
      </c>
      <c r="P895" s="117">
        <v>0</v>
      </c>
      <c r="Q895" s="117">
        <v>0</v>
      </c>
      <c r="R895" s="117">
        <v>0</v>
      </c>
      <c r="S895" s="117">
        <v>0</v>
      </c>
      <c r="T895" s="117">
        <v>0</v>
      </c>
      <c r="U895" s="153">
        <f>R895/G895</f>
        <v>0</v>
      </c>
      <c r="V895" s="128">
        <f t="shared" si="253"/>
        <v>2000</v>
      </c>
      <c r="W895" s="128">
        <f t="shared" si="254"/>
        <v>0</v>
      </c>
      <c r="X895" s="128">
        <f t="shared" si="255"/>
        <v>0</v>
      </c>
      <c r="Y895" s="128">
        <f t="shared" si="256"/>
        <v>0</v>
      </c>
      <c r="Z895" s="195">
        <f t="shared" si="257"/>
        <v>0</v>
      </c>
      <c r="AA895" s="194">
        <f t="shared" si="258"/>
        <v>0</v>
      </c>
    </row>
    <row r="896" spans="1:27" s="40" customFormat="1">
      <c r="A896" s="152"/>
      <c r="B896" s="274" t="s">
        <v>119</v>
      </c>
      <c r="C896" s="275"/>
      <c r="D896" s="275"/>
      <c r="E896" s="275"/>
      <c r="F896" s="276"/>
      <c r="G896" s="277">
        <v>198000</v>
      </c>
      <c r="H896" s="292"/>
      <c r="I896" s="142">
        <v>16500</v>
      </c>
      <c r="J896" s="117">
        <v>0</v>
      </c>
      <c r="K896" s="117">
        <v>0</v>
      </c>
      <c r="L896" s="117">
        <v>20000</v>
      </c>
      <c r="M896" s="117">
        <v>0</v>
      </c>
      <c r="N896" s="117">
        <v>0</v>
      </c>
      <c r="O896" s="117">
        <f>16500+16500+16500+16500+16500+16500+16500+16500</f>
        <v>132000</v>
      </c>
      <c r="P896" s="117">
        <v>0</v>
      </c>
      <c r="Q896" s="117">
        <v>0</v>
      </c>
      <c r="R896" s="117">
        <f>0+0+0+5000+2500+5000+64350.4+20000</f>
        <v>96850.4</v>
      </c>
      <c r="S896" s="117">
        <v>0</v>
      </c>
      <c r="T896" s="117">
        <v>0</v>
      </c>
      <c r="U896" s="153">
        <f>R896/G896</f>
        <v>0.48914343434343432</v>
      </c>
      <c r="V896" s="128">
        <f t="shared" si="253"/>
        <v>132000</v>
      </c>
      <c r="W896" s="128">
        <f t="shared" si="254"/>
        <v>0</v>
      </c>
      <c r="X896" s="128">
        <f t="shared" si="255"/>
        <v>96850.4</v>
      </c>
      <c r="Y896" s="128">
        <f t="shared" si="256"/>
        <v>0</v>
      </c>
      <c r="Z896" s="195">
        <f t="shared" si="257"/>
        <v>0.48914343434343432</v>
      </c>
      <c r="AA896" s="194">
        <f t="shared" si="258"/>
        <v>0</v>
      </c>
    </row>
    <row r="897" spans="1:27" s="40" customFormat="1">
      <c r="A897" s="152"/>
      <c r="B897" s="274" t="s">
        <v>130</v>
      </c>
      <c r="C897" s="275"/>
      <c r="D897" s="275"/>
      <c r="E897" s="275"/>
      <c r="F897" s="276"/>
      <c r="G897" s="277">
        <v>13000</v>
      </c>
      <c r="H897" s="292"/>
      <c r="I897" s="142">
        <v>0</v>
      </c>
      <c r="J897" s="117">
        <v>0</v>
      </c>
      <c r="K897" s="117">
        <v>0</v>
      </c>
      <c r="L897" s="117">
        <v>0</v>
      </c>
      <c r="M897" s="117">
        <v>0</v>
      </c>
      <c r="N897" s="117">
        <v>0</v>
      </c>
      <c r="O897" s="117">
        <v>0</v>
      </c>
      <c r="P897" s="117">
        <v>0</v>
      </c>
      <c r="Q897" s="117">
        <v>0</v>
      </c>
      <c r="R897" s="117">
        <v>0</v>
      </c>
      <c r="S897" s="117">
        <v>0</v>
      </c>
      <c r="T897" s="117">
        <v>0</v>
      </c>
      <c r="U897" s="153">
        <f t="shared" ref="U897:U906" si="259">R897/G897</f>
        <v>0</v>
      </c>
      <c r="V897" s="128">
        <f t="shared" si="253"/>
        <v>0</v>
      </c>
      <c r="W897" s="128">
        <f t="shared" si="254"/>
        <v>0</v>
      </c>
      <c r="X897" s="128">
        <f t="shared" si="255"/>
        <v>0</v>
      </c>
      <c r="Y897" s="128">
        <f t="shared" si="256"/>
        <v>0</v>
      </c>
      <c r="Z897" s="195">
        <f t="shared" si="257"/>
        <v>0</v>
      </c>
      <c r="AA897" s="194">
        <f t="shared" si="258"/>
        <v>0</v>
      </c>
    </row>
    <row r="898" spans="1:27" s="40" customFormat="1">
      <c r="A898" s="152"/>
      <c r="B898" s="274" t="s">
        <v>86</v>
      </c>
      <c r="C898" s="275"/>
      <c r="D898" s="275"/>
      <c r="E898" s="275"/>
      <c r="F898" s="276"/>
      <c r="G898" s="277">
        <v>30000</v>
      </c>
      <c r="H898" s="292"/>
      <c r="I898" s="142">
        <v>0</v>
      </c>
      <c r="J898" s="117">
        <v>0</v>
      </c>
      <c r="K898" s="117">
        <v>0</v>
      </c>
      <c r="L898" s="117">
        <v>0</v>
      </c>
      <c r="M898" s="117">
        <v>0</v>
      </c>
      <c r="N898" s="117">
        <v>0</v>
      </c>
      <c r="O898" s="117">
        <f>30000</f>
        <v>30000</v>
      </c>
      <c r="P898" s="117">
        <v>0</v>
      </c>
      <c r="Q898" s="117">
        <v>0</v>
      </c>
      <c r="R898" s="117">
        <f>0+0+0+0</f>
        <v>0</v>
      </c>
      <c r="S898" s="117">
        <v>0</v>
      </c>
      <c r="T898" s="117">
        <v>0</v>
      </c>
      <c r="U898" s="153">
        <f t="shared" si="259"/>
        <v>0</v>
      </c>
      <c r="V898" s="128">
        <f t="shared" si="253"/>
        <v>30000</v>
      </c>
      <c r="W898" s="128">
        <f t="shared" si="254"/>
        <v>0</v>
      </c>
      <c r="X898" s="128">
        <f t="shared" si="255"/>
        <v>0</v>
      </c>
      <c r="Y898" s="128">
        <f t="shared" si="256"/>
        <v>0</v>
      </c>
      <c r="Z898" s="195">
        <f t="shared" si="257"/>
        <v>0</v>
      </c>
      <c r="AA898" s="194">
        <f t="shared" si="258"/>
        <v>0</v>
      </c>
    </row>
    <row r="899" spans="1:27" s="40" customFormat="1">
      <c r="A899" s="152"/>
      <c r="B899" s="274" t="s">
        <v>88</v>
      </c>
      <c r="C899" s="275"/>
      <c r="D899" s="275"/>
      <c r="E899" s="275"/>
      <c r="F899" s="276"/>
      <c r="G899" s="277">
        <v>5800</v>
      </c>
      <c r="H899" s="292"/>
      <c r="I899" s="142">
        <v>2900</v>
      </c>
      <c r="J899" s="117">
        <v>0</v>
      </c>
      <c r="K899" s="117">
        <v>0</v>
      </c>
      <c r="L899" s="117">
        <v>0</v>
      </c>
      <c r="M899" s="117">
        <v>0</v>
      </c>
      <c r="N899" s="117">
        <v>0</v>
      </c>
      <c r="O899" s="117">
        <f>2900+2900</f>
        <v>5800</v>
      </c>
      <c r="P899" s="117">
        <v>0</v>
      </c>
      <c r="Q899" s="117">
        <v>0</v>
      </c>
      <c r="R899" s="117">
        <v>5800</v>
      </c>
      <c r="S899" s="117">
        <v>0</v>
      </c>
      <c r="T899" s="117">
        <v>0</v>
      </c>
      <c r="U899" s="153">
        <f t="shared" si="259"/>
        <v>1</v>
      </c>
      <c r="V899" s="128">
        <f t="shared" si="253"/>
        <v>5800</v>
      </c>
      <c r="W899" s="128">
        <f t="shared" si="254"/>
        <v>0</v>
      </c>
      <c r="X899" s="128">
        <f t="shared" si="255"/>
        <v>5800</v>
      </c>
      <c r="Y899" s="128">
        <f t="shared" si="256"/>
        <v>0</v>
      </c>
      <c r="Z899" s="195">
        <f t="shared" si="257"/>
        <v>1</v>
      </c>
      <c r="AA899" s="194">
        <f t="shared" si="258"/>
        <v>0</v>
      </c>
    </row>
    <row r="900" spans="1:27" s="40" customFormat="1">
      <c r="A900" s="152"/>
      <c r="B900" s="274" t="s">
        <v>131</v>
      </c>
      <c r="C900" s="275"/>
      <c r="D900" s="275"/>
      <c r="E900" s="275"/>
      <c r="F900" s="276"/>
      <c r="G900" s="277">
        <v>40000</v>
      </c>
      <c r="H900" s="292"/>
      <c r="I900" s="142">
        <v>0</v>
      </c>
      <c r="J900" s="117">
        <v>0</v>
      </c>
      <c r="K900" s="117">
        <v>0</v>
      </c>
      <c r="L900" s="117">
        <v>5684</v>
      </c>
      <c r="M900" s="117">
        <v>0</v>
      </c>
      <c r="N900" s="117">
        <v>0</v>
      </c>
      <c r="O900" s="117">
        <f>8000+8000</f>
        <v>16000</v>
      </c>
      <c r="P900" s="117">
        <v>0</v>
      </c>
      <c r="Q900" s="117">
        <v>0</v>
      </c>
      <c r="R900" s="117">
        <f>0+0+0+0+0+0+4176+5684</f>
        <v>9860</v>
      </c>
      <c r="S900" s="117">
        <v>0</v>
      </c>
      <c r="T900" s="117">
        <v>0</v>
      </c>
      <c r="U900" s="153">
        <f t="shared" si="259"/>
        <v>0.2465</v>
      </c>
      <c r="V900" s="128">
        <f t="shared" si="253"/>
        <v>16000</v>
      </c>
      <c r="W900" s="128">
        <f t="shared" si="254"/>
        <v>0</v>
      </c>
      <c r="X900" s="128">
        <f t="shared" si="255"/>
        <v>9860</v>
      </c>
      <c r="Y900" s="128">
        <f t="shared" si="256"/>
        <v>0</v>
      </c>
      <c r="Z900" s="195">
        <f t="shared" si="257"/>
        <v>0.2465</v>
      </c>
      <c r="AA900" s="194">
        <f t="shared" si="258"/>
        <v>0</v>
      </c>
    </row>
    <row r="901" spans="1:27" s="40" customFormat="1">
      <c r="A901" s="152"/>
      <c r="B901" s="274" t="s">
        <v>87</v>
      </c>
      <c r="C901" s="275"/>
      <c r="D901" s="275"/>
      <c r="E901" s="275"/>
      <c r="F901" s="276"/>
      <c r="G901" s="277">
        <v>9000</v>
      </c>
      <c r="H901" s="292"/>
      <c r="I901" s="142">
        <v>0</v>
      </c>
      <c r="J901" s="117">
        <v>0</v>
      </c>
      <c r="K901" s="117">
        <v>0</v>
      </c>
      <c r="L901" s="117">
        <v>0</v>
      </c>
      <c r="M901" s="117">
        <v>0</v>
      </c>
      <c r="N901" s="117">
        <v>0</v>
      </c>
      <c r="O901" s="117">
        <f>3000+3000</f>
        <v>6000</v>
      </c>
      <c r="P901" s="117">
        <v>0</v>
      </c>
      <c r="Q901" s="117">
        <v>0</v>
      </c>
      <c r="R901" s="117">
        <f>0+3379.08</f>
        <v>3379.08</v>
      </c>
      <c r="S901" s="117">
        <v>0</v>
      </c>
      <c r="T901" s="117">
        <v>0</v>
      </c>
      <c r="U901" s="153">
        <f t="shared" si="259"/>
        <v>0.37545333333333331</v>
      </c>
      <c r="V901" s="128">
        <f t="shared" si="253"/>
        <v>6000</v>
      </c>
      <c r="W901" s="128">
        <f t="shared" si="254"/>
        <v>0</v>
      </c>
      <c r="X901" s="128">
        <f t="shared" si="255"/>
        <v>3379.08</v>
      </c>
      <c r="Y901" s="128">
        <f t="shared" si="256"/>
        <v>0</v>
      </c>
      <c r="Z901" s="195">
        <f t="shared" si="257"/>
        <v>0.37545333333333331</v>
      </c>
      <c r="AA901" s="194">
        <f t="shared" si="258"/>
        <v>0</v>
      </c>
    </row>
    <row r="902" spans="1:27" s="40" customFormat="1">
      <c r="A902" s="152"/>
      <c r="B902" s="274" t="s">
        <v>89</v>
      </c>
      <c r="C902" s="275"/>
      <c r="D902" s="275"/>
      <c r="E902" s="275"/>
      <c r="F902" s="276"/>
      <c r="G902" s="277">
        <v>8000</v>
      </c>
      <c r="H902" s="292"/>
      <c r="I902" s="142">
        <v>0</v>
      </c>
      <c r="J902" s="117">
        <v>0</v>
      </c>
      <c r="K902" s="117">
        <v>0</v>
      </c>
      <c r="L902" s="117">
        <v>0</v>
      </c>
      <c r="M902" s="117">
        <v>0</v>
      </c>
      <c r="N902" s="117">
        <v>0</v>
      </c>
      <c r="O902" s="117">
        <v>8000</v>
      </c>
      <c r="P902" s="117">
        <v>0</v>
      </c>
      <c r="Q902" s="117">
        <v>0</v>
      </c>
      <c r="R902" s="117">
        <f>0+0+0+0</f>
        <v>0</v>
      </c>
      <c r="S902" s="117">
        <v>0</v>
      </c>
      <c r="T902" s="117">
        <v>0</v>
      </c>
      <c r="U902" s="153">
        <f t="shared" si="259"/>
        <v>0</v>
      </c>
      <c r="V902" s="128">
        <f t="shared" si="253"/>
        <v>8000</v>
      </c>
      <c r="W902" s="128">
        <f t="shared" si="254"/>
        <v>0</v>
      </c>
      <c r="X902" s="128">
        <f t="shared" si="255"/>
        <v>0</v>
      </c>
      <c r="Y902" s="128">
        <f t="shared" si="256"/>
        <v>0</v>
      </c>
      <c r="Z902" s="195">
        <f t="shared" si="257"/>
        <v>0</v>
      </c>
      <c r="AA902" s="194">
        <f t="shared" si="258"/>
        <v>0</v>
      </c>
    </row>
    <row r="903" spans="1:27" s="40" customFormat="1">
      <c r="A903" s="152"/>
      <c r="B903" s="274" t="s">
        <v>90</v>
      </c>
      <c r="C903" s="275"/>
      <c r="D903" s="275"/>
      <c r="E903" s="275"/>
      <c r="F903" s="276"/>
      <c r="G903" s="277">
        <v>9000</v>
      </c>
      <c r="H903" s="292"/>
      <c r="I903" s="142">
        <v>0</v>
      </c>
      <c r="J903" s="117">
        <v>0</v>
      </c>
      <c r="K903" s="117">
        <v>0</v>
      </c>
      <c r="L903" s="117">
        <v>0</v>
      </c>
      <c r="M903" s="117">
        <v>0</v>
      </c>
      <c r="N903" s="117">
        <v>0</v>
      </c>
      <c r="O903" s="117">
        <f>3000+3000</f>
        <v>6000</v>
      </c>
      <c r="P903" s="117">
        <v>0</v>
      </c>
      <c r="Q903" s="117">
        <v>0</v>
      </c>
      <c r="R903" s="117">
        <f>0+0+0+0</f>
        <v>0</v>
      </c>
      <c r="S903" s="117">
        <v>0</v>
      </c>
      <c r="T903" s="117">
        <v>0</v>
      </c>
      <c r="U903" s="153">
        <f t="shared" si="259"/>
        <v>0</v>
      </c>
      <c r="V903" s="128">
        <f t="shared" si="253"/>
        <v>6000</v>
      </c>
      <c r="W903" s="128">
        <f t="shared" si="254"/>
        <v>0</v>
      </c>
      <c r="X903" s="128">
        <f t="shared" si="255"/>
        <v>0</v>
      </c>
      <c r="Y903" s="128">
        <f t="shared" si="256"/>
        <v>0</v>
      </c>
      <c r="Z903" s="195">
        <f t="shared" si="257"/>
        <v>0</v>
      </c>
      <c r="AA903" s="194">
        <f t="shared" si="258"/>
        <v>0</v>
      </c>
    </row>
    <row r="904" spans="1:27" s="40" customFormat="1">
      <c r="A904" s="152"/>
      <c r="B904" s="274" t="s">
        <v>64</v>
      </c>
      <c r="C904" s="275"/>
      <c r="D904" s="275"/>
      <c r="E904" s="275"/>
      <c r="F904" s="276"/>
      <c r="G904" s="277">
        <v>3750</v>
      </c>
      <c r="H904" s="292"/>
      <c r="I904" s="142">
        <v>1250</v>
      </c>
      <c r="J904" s="117">
        <v>0</v>
      </c>
      <c r="K904" s="117">
        <v>0</v>
      </c>
      <c r="L904" s="117">
        <v>0</v>
      </c>
      <c r="M904" s="117">
        <v>0</v>
      </c>
      <c r="N904" s="117">
        <v>0</v>
      </c>
      <c r="O904" s="117">
        <f>1250+1250</f>
        <v>2500</v>
      </c>
      <c r="P904" s="117">
        <v>0</v>
      </c>
      <c r="Q904" s="117">
        <v>0</v>
      </c>
      <c r="R904" s="117">
        <v>622</v>
      </c>
      <c r="S904" s="117">
        <v>0</v>
      </c>
      <c r="T904" s="117">
        <v>0</v>
      </c>
      <c r="U904" s="153">
        <f t="shared" si="259"/>
        <v>0.16586666666666666</v>
      </c>
      <c r="V904" s="128">
        <f t="shared" si="253"/>
        <v>2500</v>
      </c>
      <c r="W904" s="128">
        <f t="shared" si="254"/>
        <v>0</v>
      </c>
      <c r="X904" s="128">
        <f t="shared" si="255"/>
        <v>622</v>
      </c>
      <c r="Y904" s="128">
        <f t="shared" si="256"/>
        <v>0</v>
      </c>
      <c r="Z904" s="195">
        <f t="shared" si="257"/>
        <v>0.16586666666666666</v>
      </c>
      <c r="AA904" s="194">
        <f t="shared" si="258"/>
        <v>0</v>
      </c>
    </row>
    <row r="905" spans="1:27" s="40" customFormat="1">
      <c r="A905" s="152"/>
      <c r="B905" s="274" t="s">
        <v>91</v>
      </c>
      <c r="C905" s="275"/>
      <c r="D905" s="275"/>
      <c r="E905" s="275"/>
      <c r="F905" s="276"/>
      <c r="G905" s="277">
        <v>6000</v>
      </c>
      <c r="H905" s="292"/>
      <c r="I905" s="142">
        <v>0</v>
      </c>
      <c r="J905" s="117">
        <v>0</v>
      </c>
      <c r="K905" s="117">
        <v>0</v>
      </c>
      <c r="L905" s="117">
        <v>0</v>
      </c>
      <c r="M905" s="117">
        <v>0</v>
      </c>
      <c r="N905" s="117">
        <v>0</v>
      </c>
      <c r="O905" s="117">
        <f>6000</f>
        <v>6000</v>
      </c>
      <c r="P905" s="117">
        <v>0</v>
      </c>
      <c r="Q905" s="117">
        <v>0</v>
      </c>
      <c r="R905" s="117">
        <f>0+0+0+0</f>
        <v>0</v>
      </c>
      <c r="S905" s="117">
        <v>0</v>
      </c>
      <c r="T905" s="117">
        <v>0</v>
      </c>
      <c r="U905" s="153">
        <f t="shared" si="259"/>
        <v>0</v>
      </c>
      <c r="V905" s="128">
        <f t="shared" si="253"/>
        <v>6000</v>
      </c>
      <c r="W905" s="128">
        <f t="shared" si="254"/>
        <v>0</v>
      </c>
      <c r="X905" s="128">
        <f t="shared" si="255"/>
        <v>0</v>
      </c>
      <c r="Y905" s="128">
        <f t="shared" si="256"/>
        <v>0</v>
      </c>
      <c r="Z905" s="195">
        <f t="shared" si="257"/>
        <v>0</v>
      </c>
      <c r="AA905" s="194">
        <f t="shared" si="258"/>
        <v>0</v>
      </c>
    </row>
    <row r="906" spans="1:27" s="40" customFormat="1">
      <c r="A906" s="152"/>
      <c r="B906" s="274" t="s">
        <v>81</v>
      </c>
      <c r="C906" s="275"/>
      <c r="D906" s="275"/>
      <c r="E906" s="275"/>
      <c r="F906" s="276"/>
      <c r="G906" s="277">
        <v>195000</v>
      </c>
      <c r="H906" s="292"/>
      <c r="I906" s="142">
        <v>13000</v>
      </c>
      <c r="J906" s="117">
        <v>0</v>
      </c>
      <c r="K906" s="117">
        <v>0</v>
      </c>
      <c r="L906" s="117">
        <v>15708.75</v>
      </c>
      <c r="M906" s="117">
        <v>0</v>
      </c>
      <c r="N906" s="117">
        <v>0</v>
      </c>
      <c r="O906" s="117">
        <f>26000+26000+26000+13000+13000+13000+13000+13000</f>
        <v>143000</v>
      </c>
      <c r="P906" s="117">
        <v>0</v>
      </c>
      <c r="Q906" s="117">
        <v>0</v>
      </c>
      <c r="R906" s="117">
        <f>23416.71+27887.03+23419.61+15279.25+11463.61+13780.18+9596.71+15708.75</f>
        <v>140551.85</v>
      </c>
      <c r="S906" s="117">
        <v>0</v>
      </c>
      <c r="T906" s="117">
        <v>0</v>
      </c>
      <c r="U906" s="153">
        <f t="shared" si="259"/>
        <v>0.72077871794871795</v>
      </c>
      <c r="V906" s="128">
        <f t="shared" si="253"/>
        <v>143000</v>
      </c>
      <c r="W906" s="128">
        <f t="shared" si="254"/>
        <v>0</v>
      </c>
      <c r="X906" s="128">
        <f t="shared" si="255"/>
        <v>140551.85</v>
      </c>
      <c r="Y906" s="128">
        <f t="shared" si="256"/>
        <v>0</v>
      </c>
      <c r="Z906" s="195">
        <f t="shared" si="257"/>
        <v>0.72077871794871795</v>
      </c>
      <c r="AA906" s="194">
        <f t="shared" si="258"/>
        <v>0</v>
      </c>
    </row>
    <row r="907" spans="1:27" s="40" customFormat="1" ht="15" customHeight="1">
      <c r="A907" s="152"/>
      <c r="B907" s="274" t="s">
        <v>132</v>
      </c>
      <c r="C907" s="275"/>
      <c r="D907" s="275"/>
      <c r="E907" s="275"/>
      <c r="F907" s="276"/>
      <c r="G907" s="277">
        <v>1900</v>
      </c>
      <c r="H907" s="292"/>
      <c r="I907" s="142">
        <v>0</v>
      </c>
      <c r="J907" s="117">
        <v>0</v>
      </c>
      <c r="K907" s="117">
        <v>0</v>
      </c>
      <c r="L907" s="117">
        <v>0</v>
      </c>
      <c r="M907" s="117">
        <v>0</v>
      </c>
      <c r="N907" s="117">
        <v>0</v>
      </c>
      <c r="O907" s="117">
        <v>1900</v>
      </c>
      <c r="P907" s="117">
        <v>0</v>
      </c>
      <c r="Q907" s="117">
        <v>0</v>
      </c>
      <c r="R907" s="117">
        <f>0+1893.11</f>
        <v>1893.11</v>
      </c>
      <c r="S907" s="117">
        <v>0</v>
      </c>
      <c r="T907" s="117">
        <v>0</v>
      </c>
      <c r="U907" s="153">
        <f>R907/G907</f>
        <v>0.9963736842105263</v>
      </c>
      <c r="V907" s="128">
        <f t="shared" si="253"/>
        <v>1900</v>
      </c>
      <c r="W907" s="128">
        <f t="shared" si="254"/>
        <v>0</v>
      </c>
      <c r="X907" s="128">
        <f t="shared" si="255"/>
        <v>1893.11</v>
      </c>
      <c r="Y907" s="128">
        <f t="shared" si="256"/>
        <v>0</v>
      </c>
      <c r="Z907" s="195">
        <f t="shared" si="257"/>
        <v>0.9963736842105263</v>
      </c>
      <c r="AA907" s="194">
        <f t="shared" si="258"/>
        <v>0</v>
      </c>
    </row>
    <row r="908" spans="1:27" s="40" customFormat="1" ht="15" customHeight="1">
      <c r="A908" s="152"/>
      <c r="B908" s="274" t="s">
        <v>133</v>
      </c>
      <c r="C908" s="275"/>
      <c r="D908" s="275"/>
      <c r="E908" s="275"/>
      <c r="F908" s="276"/>
      <c r="G908" s="277">
        <v>20000</v>
      </c>
      <c r="H908" s="292"/>
      <c r="I908" s="142">
        <v>20000</v>
      </c>
      <c r="J908" s="116">
        <v>0</v>
      </c>
      <c r="K908" s="116">
        <v>0</v>
      </c>
      <c r="L908" s="116">
        <v>17456</v>
      </c>
      <c r="M908" s="116">
        <v>0</v>
      </c>
      <c r="N908" s="116">
        <v>0</v>
      </c>
      <c r="O908" s="116">
        <v>20000</v>
      </c>
      <c r="P908" s="116">
        <v>0</v>
      </c>
      <c r="Q908" s="116">
        <v>0</v>
      </c>
      <c r="R908" s="116">
        <v>17456</v>
      </c>
      <c r="S908" s="116">
        <v>0</v>
      </c>
      <c r="T908" s="116">
        <v>0</v>
      </c>
      <c r="U908" s="156">
        <f>R908/G908</f>
        <v>0.87280000000000002</v>
      </c>
      <c r="V908" s="128">
        <f t="shared" si="253"/>
        <v>20000</v>
      </c>
      <c r="W908" s="128">
        <f t="shared" si="254"/>
        <v>0</v>
      </c>
      <c r="X908" s="128">
        <f t="shared" si="255"/>
        <v>17456</v>
      </c>
      <c r="Y908" s="128">
        <f t="shared" si="256"/>
        <v>0</v>
      </c>
      <c r="Z908" s="195">
        <f t="shared" si="257"/>
        <v>0.87280000000000002</v>
      </c>
      <c r="AA908" s="194">
        <f t="shared" si="258"/>
        <v>0</v>
      </c>
    </row>
    <row r="909" spans="1:27" s="40" customFormat="1" ht="15" customHeight="1">
      <c r="A909" s="152"/>
      <c r="B909" s="274" t="s">
        <v>134</v>
      </c>
      <c r="C909" s="275"/>
      <c r="D909" s="275"/>
      <c r="E909" s="275"/>
      <c r="F909" s="276"/>
      <c r="G909" s="277">
        <v>7200</v>
      </c>
      <c r="H909" s="292"/>
      <c r="I909" s="142">
        <v>0</v>
      </c>
      <c r="J909" s="116">
        <v>0</v>
      </c>
      <c r="K909" s="116">
        <v>0</v>
      </c>
      <c r="L909" s="116">
        <v>0</v>
      </c>
      <c r="M909" s="116">
        <v>0</v>
      </c>
      <c r="N909" s="116">
        <v>0</v>
      </c>
      <c r="O909" s="116">
        <f>7200</f>
        <v>7200</v>
      </c>
      <c r="P909" s="116">
        <v>0</v>
      </c>
      <c r="Q909" s="116">
        <v>0</v>
      </c>
      <c r="R909" s="116">
        <f>7200</f>
        <v>7200</v>
      </c>
      <c r="S909" s="116">
        <v>0</v>
      </c>
      <c r="T909" s="116">
        <v>0</v>
      </c>
      <c r="U909" s="156">
        <f>R909/G909</f>
        <v>1</v>
      </c>
      <c r="V909" s="128">
        <f t="shared" si="253"/>
        <v>7200</v>
      </c>
      <c r="W909" s="128">
        <f t="shared" si="254"/>
        <v>0</v>
      </c>
      <c r="X909" s="128">
        <f t="shared" si="255"/>
        <v>7200</v>
      </c>
      <c r="Y909" s="128">
        <f t="shared" si="256"/>
        <v>0</v>
      </c>
      <c r="Z909" s="195">
        <f t="shared" si="257"/>
        <v>1</v>
      </c>
      <c r="AA909" s="194">
        <f t="shared" si="258"/>
        <v>0</v>
      </c>
    </row>
    <row r="910" spans="1:27" s="40" customFormat="1" ht="15" customHeight="1">
      <c r="A910" s="152"/>
      <c r="B910" s="274" t="s">
        <v>79</v>
      </c>
      <c r="C910" s="275"/>
      <c r="D910" s="275"/>
      <c r="E910" s="275"/>
      <c r="F910" s="276"/>
      <c r="G910" s="277">
        <v>37500</v>
      </c>
      <c r="H910" s="292"/>
      <c r="I910" s="142">
        <v>0</v>
      </c>
      <c r="J910" s="116">
        <v>0</v>
      </c>
      <c r="K910" s="116">
        <v>0</v>
      </c>
      <c r="L910" s="116">
        <v>37500</v>
      </c>
      <c r="M910" s="116">
        <v>0</v>
      </c>
      <c r="N910" s="116">
        <v>0</v>
      </c>
      <c r="O910" s="116">
        <v>37500</v>
      </c>
      <c r="P910" s="116">
        <v>0</v>
      </c>
      <c r="Q910" s="116">
        <v>0</v>
      </c>
      <c r="R910" s="116">
        <f>0+0+0+0+0+0+0+37500</f>
        <v>37500</v>
      </c>
      <c r="S910" s="116">
        <v>0</v>
      </c>
      <c r="T910" s="116">
        <v>0</v>
      </c>
      <c r="U910" s="156">
        <f t="shared" ref="U910:U911" si="260">R910/G910</f>
        <v>1</v>
      </c>
      <c r="V910" s="128">
        <f t="shared" si="253"/>
        <v>37500</v>
      </c>
      <c r="W910" s="128">
        <f t="shared" si="254"/>
        <v>0</v>
      </c>
      <c r="X910" s="128">
        <f t="shared" si="255"/>
        <v>37500</v>
      </c>
      <c r="Y910" s="128">
        <f t="shared" si="256"/>
        <v>0</v>
      </c>
      <c r="Z910" s="195">
        <f t="shared" si="257"/>
        <v>1</v>
      </c>
      <c r="AA910" s="194">
        <f t="shared" si="258"/>
        <v>0</v>
      </c>
    </row>
    <row r="911" spans="1:27" s="40" customFormat="1" ht="15" customHeight="1">
      <c r="A911" s="152"/>
      <c r="B911" s="274" t="s">
        <v>92</v>
      </c>
      <c r="C911" s="275"/>
      <c r="D911" s="275"/>
      <c r="E911" s="275"/>
      <c r="F911" s="276"/>
      <c r="G911" s="277">
        <v>39600</v>
      </c>
      <c r="H911" s="292"/>
      <c r="I911" s="142">
        <v>0</v>
      </c>
      <c r="J911" s="116">
        <v>0</v>
      </c>
      <c r="K911" s="116">
        <v>0</v>
      </c>
      <c r="L911" s="116">
        <v>0</v>
      </c>
      <c r="M911" s="116">
        <v>0</v>
      </c>
      <c r="N911" s="116">
        <v>0</v>
      </c>
      <c r="O911" s="116">
        <v>39600</v>
      </c>
      <c r="P911" s="116">
        <v>0</v>
      </c>
      <c r="Q911" s="116">
        <v>0</v>
      </c>
      <c r="R911" s="116">
        <f>0+0+0+0</f>
        <v>0</v>
      </c>
      <c r="S911" s="116">
        <v>0</v>
      </c>
      <c r="T911" s="116">
        <v>0</v>
      </c>
      <c r="U911" s="156">
        <f t="shared" si="260"/>
        <v>0</v>
      </c>
      <c r="V911" s="128">
        <f t="shared" si="253"/>
        <v>39600</v>
      </c>
      <c r="W911" s="128">
        <f t="shared" si="254"/>
        <v>0</v>
      </c>
      <c r="X911" s="128">
        <f t="shared" si="255"/>
        <v>0</v>
      </c>
      <c r="Y911" s="128">
        <f t="shared" si="256"/>
        <v>0</v>
      </c>
      <c r="Z911" s="195">
        <f t="shared" si="257"/>
        <v>0</v>
      </c>
      <c r="AA911" s="194">
        <f t="shared" si="258"/>
        <v>0</v>
      </c>
    </row>
    <row r="912" spans="1:27" s="40" customFormat="1">
      <c r="A912" s="152"/>
      <c r="B912" s="274" t="s">
        <v>65</v>
      </c>
      <c r="C912" s="275"/>
      <c r="D912" s="275"/>
      <c r="E912" s="275"/>
      <c r="F912" s="276"/>
      <c r="G912" s="277">
        <v>23750</v>
      </c>
      <c r="H912" s="292"/>
      <c r="I912" s="142">
        <v>2500</v>
      </c>
      <c r="J912" s="116">
        <v>0</v>
      </c>
      <c r="K912" s="116">
        <v>0</v>
      </c>
      <c r="L912" s="116">
        <v>0</v>
      </c>
      <c r="M912" s="116">
        <v>0</v>
      </c>
      <c r="N912" s="116">
        <v>0</v>
      </c>
      <c r="O912" s="116">
        <f>3750+2500</f>
        <v>6250</v>
      </c>
      <c r="P912" s="116">
        <v>0</v>
      </c>
      <c r="Q912" s="116">
        <v>0</v>
      </c>
      <c r="R912" s="116">
        <v>2126.81</v>
      </c>
      <c r="S912" s="116">
        <v>0</v>
      </c>
      <c r="T912" s="116">
        <v>0</v>
      </c>
      <c r="U912" s="156">
        <f>R912/G912</f>
        <v>8.9549894736842106E-2</v>
      </c>
      <c r="V912" s="128">
        <f t="shared" si="253"/>
        <v>6250</v>
      </c>
      <c r="W912" s="128">
        <f t="shared" si="254"/>
        <v>0</v>
      </c>
      <c r="X912" s="128">
        <f t="shared" si="255"/>
        <v>2126.81</v>
      </c>
      <c r="Y912" s="128">
        <f t="shared" si="256"/>
        <v>0</v>
      </c>
      <c r="Z912" s="195">
        <f t="shared" si="257"/>
        <v>8.9549894736842106E-2</v>
      </c>
      <c r="AA912" s="194">
        <f t="shared" si="258"/>
        <v>0</v>
      </c>
    </row>
    <row r="913" spans="1:27" ht="15.75" thickBot="1">
      <c r="A913" s="23"/>
      <c r="B913" s="453"/>
      <c r="C913" s="454"/>
      <c r="D913" s="454"/>
      <c r="E913" s="454"/>
      <c r="F913" s="455"/>
      <c r="G913" s="456"/>
      <c r="H913" s="457"/>
      <c r="I913" s="126"/>
      <c r="J913" s="26"/>
      <c r="K913" s="26"/>
      <c r="L913" s="26"/>
      <c r="M913" s="26"/>
      <c r="N913" s="26"/>
      <c r="O913" s="26"/>
      <c r="P913" s="26"/>
      <c r="Q913" s="26"/>
      <c r="R913" s="26"/>
      <c r="S913" s="26"/>
      <c r="T913" s="26"/>
      <c r="U913" s="27"/>
    </row>
    <row r="914" spans="1:27" ht="15.75" thickBot="1">
      <c r="A914" s="23"/>
      <c r="B914" s="257" t="s">
        <v>21</v>
      </c>
      <c r="C914" s="258"/>
      <c r="D914" s="258"/>
      <c r="E914" s="258"/>
      <c r="F914" s="259"/>
      <c r="G914" s="260">
        <f>SUM(G892:H913)</f>
        <v>675408</v>
      </c>
      <c r="H914" s="261"/>
      <c r="I914" s="29">
        <f>SUM(I892:I913)</f>
        <v>56150</v>
      </c>
      <c r="J914" s="29"/>
      <c r="K914" s="29"/>
      <c r="L914" s="29">
        <f>SUM(L892:L913)</f>
        <v>96348.75</v>
      </c>
      <c r="M914" s="29"/>
      <c r="N914" s="29"/>
      <c r="O914" s="29">
        <f>SUM(O892:O913)</f>
        <v>492658</v>
      </c>
      <c r="P914" s="29"/>
      <c r="Q914" s="29"/>
      <c r="R914" s="29">
        <f>SUM(R892:R913)</f>
        <v>327481.64999999997</v>
      </c>
      <c r="S914" s="29"/>
      <c r="T914" s="30"/>
      <c r="U914" s="78">
        <f>R914/G914</f>
        <v>0.48486492608911941</v>
      </c>
      <c r="V914" s="128">
        <f>+I914+O793</f>
        <v>492658</v>
      </c>
      <c r="W914" s="128">
        <f>+O914-V914</f>
        <v>0</v>
      </c>
      <c r="X914" s="128">
        <f>+L914+R793</f>
        <v>327481.64999999997</v>
      </c>
      <c r="Y914" s="128">
        <f>+R914-X914</f>
        <v>0</v>
      </c>
      <c r="Z914" s="195">
        <f>+X914/G914</f>
        <v>0.48486492608911941</v>
      </c>
      <c r="AA914" s="194">
        <f>+U914-Z914</f>
        <v>0</v>
      </c>
    </row>
    <row r="915" spans="1:27" ht="15.75" thickBot="1">
      <c r="A915" s="23"/>
      <c r="B915" s="297"/>
      <c r="C915" s="297"/>
      <c r="D915" s="297"/>
      <c r="E915" s="297"/>
      <c r="F915" s="297"/>
      <c r="G915" s="298"/>
      <c r="H915" s="298"/>
      <c r="I915" s="126"/>
      <c r="J915" s="126"/>
      <c r="K915" s="126"/>
      <c r="L915" s="126"/>
      <c r="M915" s="126"/>
      <c r="N915" s="126"/>
      <c r="O915" s="126"/>
      <c r="P915" s="126"/>
      <c r="Q915" s="126"/>
      <c r="R915" s="126"/>
      <c r="S915" s="126"/>
      <c r="T915" s="126"/>
      <c r="U915" s="72"/>
    </row>
    <row r="916" spans="1:27" ht="15.75" thickBot="1">
      <c r="A916" s="23"/>
      <c r="B916" s="284" t="s">
        <v>30</v>
      </c>
      <c r="C916" s="285"/>
      <c r="D916" s="285"/>
      <c r="E916" s="285"/>
      <c r="F916" s="285"/>
      <c r="G916" s="285"/>
      <c r="H916" s="285"/>
      <c r="I916" s="285"/>
      <c r="J916" s="285"/>
      <c r="K916" s="285"/>
      <c r="L916" s="285"/>
      <c r="M916" s="285"/>
      <c r="N916" s="285"/>
      <c r="O916" s="285"/>
      <c r="P916" s="285"/>
      <c r="Q916" s="285"/>
      <c r="R916" s="285"/>
      <c r="S916" s="285"/>
      <c r="T916" s="285"/>
      <c r="U916" s="286"/>
    </row>
    <row r="917" spans="1:27" s="40" customFormat="1" ht="15" customHeight="1">
      <c r="A917" s="152"/>
      <c r="B917" s="287" t="s">
        <v>80</v>
      </c>
      <c r="C917" s="288"/>
      <c r="D917" s="288"/>
      <c r="E917" s="288"/>
      <c r="F917" s="289"/>
      <c r="G917" s="290">
        <v>11500</v>
      </c>
      <c r="H917" s="291"/>
      <c r="I917" s="161">
        <v>11500</v>
      </c>
      <c r="J917" s="161">
        <v>0</v>
      </c>
      <c r="K917" s="161">
        <v>0</v>
      </c>
      <c r="L917" s="161">
        <v>3804.87</v>
      </c>
      <c r="M917" s="161">
        <v>0</v>
      </c>
      <c r="N917" s="161">
        <v>0</v>
      </c>
      <c r="O917" s="161">
        <v>11500</v>
      </c>
      <c r="P917" s="161">
        <v>0</v>
      </c>
      <c r="Q917" s="161">
        <v>0</v>
      </c>
      <c r="R917" s="161">
        <f>3804.87</f>
        <v>3804.87</v>
      </c>
      <c r="S917" s="161">
        <v>0</v>
      </c>
      <c r="T917" s="141">
        <v>0</v>
      </c>
      <c r="U917" s="162">
        <f t="shared" ref="U917:U924" si="261">R917/G917</f>
        <v>0.33085826086956521</v>
      </c>
      <c r="V917" s="128">
        <f t="shared" ref="V917:V924" si="262">+I917+O796</f>
        <v>11500</v>
      </c>
      <c r="W917" s="128">
        <f t="shared" ref="W917:W924" si="263">+O917-V917</f>
        <v>0</v>
      </c>
      <c r="X917" s="128">
        <f t="shared" ref="X917:X924" si="264">+L917+R796</f>
        <v>3804.87</v>
      </c>
      <c r="Y917" s="128">
        <f t="shared" ref="Y917:Y924" si="265">+R917-X917</f>
        <v>0</v>
      </c>
      <c r="Z917" s="195">
        <f t="shared" ref="Z917:Z924" si="266">+X917/G917</f>
        <v>0.33085826086956521</v>
      </c>
      <c r="AA917" s="194">
        <f t="shared" ref="AA917:AA924" si="267">+U917-Z917</f>
        <v>0</v>
      </c>
    </row>
    <row r="918" spans="1:27" s="40" customFormat="1">
      <c r="A918" s="152"/>
      <c r="B918" s="274" t="s">
        <v>124</v>
      </c>
      <c r="C918" s="275"/>
      <c r="D918" s="275"/>
      <c r="E918" s="275"/>
      <c r="F918" s="276"/>
      <c r="G918" s="277">
        <v>30000</v>
      </c>
      <c r="H918" s="278"/>
      <c r="I918" s="116">
        <v>0</v>
      </c>
      <c r="J918" s="116">
        <v>0</v>
      </c>
      <c r="K918" s="116">
        <v>0</v>
      </c>
      <c r="L918" s="116">
        <v>0</v>
      </c>
      <c r="M918" s="116">
        <v>0</v>
      </c>
      <c r="N918" s="116">
        <v>0</v>
      </c>
      <c r="O918" s="116">
        <v>0</v>
      </c>
      <c r="P918" s="116">
        <v>0</v>
      </c>
      <c r="Q918" s="116">
        <v>0</v>
      </c>
      <c r="R918" s="116">
        <v>0</v>
      </c>
      <c r="S918" s="116">
        <v>0</v>
      </c>
      <c r="T918" s="117">
        <v>0</v>
      </c>
      <c r="U918" s="153">
        <f t="shared" si="261"/>
        <v>0</v>
      </c>
      <c r="V918" s="128">
        <f t="shared" si="262"/>
        <v>0</v>
      </c>
      <c r="W918" s="128">
        <f t="shared" si="263"/>
        <v>0</v>
      </c>
      <c r="X918" s="128">
        <f t="shared" si="264"/>
        <v>0</v>
      </c>
      <c r="Y918" s="128">
        <f t="shared" si="265"/>
        <v>0</v>
      </c>
      <c r="Z918" s="195">
        <f t="shared" si="266"/>
        <v>0</v>
      </c>
      <c r="AA918" s="194">
        <f t="shared" si="267"/>
        <v>0</v>
      </c>
    </row>
    <row r="919" spans="1:27" s="40" customFormat="1" ht="15" customHeight="1">
      <c r="A919" s="152"/>
      <c r="B919" s="274" t="s">
        <v>123</v>
      </c>
      <c r="C919" s="275"/>
      <c r="D919" s="275"/>
      <c r="E919" s="275"/>
      <c r="F919" s="276"/>
      <c r="G919" s="277">
        <v>12328</v>
      </c>
      <c r="H919" s="278"/>
      <c r="I919" s="116">
        <v>0</v>
      </c>
      <c r="J919" s="116">
        <v>0</v>
      </c>
      <c r="K919" s="116">
        <v>0</v>
      </c>
      <c r="L919" s="116">
        <v>0</v>
      </c>
      <c r="M919" s="116">
        <v>0</v>
      </c>
      <c r="N919" s="116">
        <v>0</v>
      </c>
      <c r="O919" s="116">
        <v>12328</v>
      </c>
      <c r="P919" s="116">
        <v>0</v>
      </c>
      <c r="Q919" s="116">
        <v>0</v>
      </c>
      <c r="R919" s="116">
        <v>12328</v>
      </c>
      <c r="S919" s="116">
        <v>0</v>
      </c>
      <c r="T919" s="117">
        <v>0</v>
      </c>
      <c r="U919" s="153">
        <f t="shared" si="261"/>
        <v>1</v>
      </c>
      <c r="V919" s="128">
        <f t="shared" si="262"/>
        <v>12328</v>
      </c>
      <c r="W919" s="128">
        <f t="shared" si="263"/>
        <v>0</v>
      </c>
      <c r="X919" s="128">
        <f t="shared" si="264"/>
        <v>12328</v>
      </c>
      <c r="Y919" s="128">
        <f t="shared" si="265"/>
        <v>0</v>
      </c>
      <c r="Z919" s="195">
        <f t="shared" si="266"/>
        <v>1</v>
      </c>
      <c r="AA919" s="194">
        <f t="shared" si="267"/>
        <v>0</v>
      </c>
    </row>
    <row r="920" spans="1:27" s="40" customFormat="1" ht="15" customHeight="1">
      <c r="A920" s="152"/>
      <c r="B920" s="274" t="s">
        <v>66</v>
      </c>
      <c r="C920" s="275"/>
      <c r="D920" s="275"/>
      <c r="E920" s="275"/>
      <c r="F920" s="276"/>
      <c r="G920" s="277">
        <v>16000</v>
      </c>
      <c r="H920" s="278"/>
      <c r="I920" s="116">
        <v>0</v>
      </c>
      <c r="J920" s="116">
        <v>0</v>
      </c>
      <c r="K920" s="116">
        <v>0</v>
      </c>
      <c r="L920" s="116">
        <v>0</v>
      </c>
      <c r="M920" s="116">
        <v>0</v>
      </c>
      <c r="N920" s="116">
        <v>0</v>
      </c>
      <c r="O920" s="116">
        <v>16000</v>
      </c>
      <c r="P920" s="116">
        <v>0</v>
      </c>
      <c r="Q920" s="116">
        <v>0</v>
      </c>
      <c r="R920" s="116">
        <f>0+0+0+0+6710.67+9289.33</f>
        <v>16000</v>
      </c>
      <c r="S920" s="116">
        <v>0</v>
      </c>
      <c r="T920" s="117">
        <v>0</v>
      </c>
      <c r="U920" s="153">
        <f t="shared" si="261"/>
        <v>1</v>
      </c>
      <c r="V920" s="128">
        <f t="shared" si="262"/>
        <v>16000</v>
      </c>
      <c r="W920" s="128">
        <f t="shared" si="263"/>
        <v>0</v>
      </c>
      <c r="X920" s="128">
        <f t="shared" si="264"/>
        <v>16000</v>
      </c>
      <c r="Y920" s="128">
        <f t="shared" si="265"/>
        <v>0</v>
      </c>
      <c r="Z920" s="195">
        <f t="shared" si="266"/>
        <v>1</v>
      </c>
      <c r="AA920" s="194">
        <f t="shared" si="267"/>
        <v>0</v>
      </c>
    </row>
    <row r="921" spans="1:27" s="40" customFormat="1" ht="15" customHeight="1">
      <c r="A921" s="152"/>
      <c r="B921" s="274" t="s">
        <v>67</v>
      </c>
      <c r="C921" s="275"/>
      <c r="D921" s="275"/>
      <c r="E921" s="275"/>
      <c r="F921" s="276"/>
      <c r="G921" s="277">
        <v>15000</v>
      </c>
      <c r="H921" s="278"/>
      <c r="I921" s="116">
        <v>0</v>
      </c>
      <c r="J921" s="116">
        <v>0</v>
      </c>
      <c r="K921" s="116">
        <v>0</v>
      </c>
      <c r="L921" s="116">
        <v>0</v>
      </c>
      <c r="M921" s="116">
        <v>0</v>
      </c>
      <c r="N921" s="116">
        <v>0</v>
      </c>
      <c r="O921" s="116">
        <v>0</v>
      </c>
      <c r="P921" s="116">
        <v>0</v>
      </c>
      <c r="Q921" s="116">
        <v>0</v>
      </c>
      <c r="R921" s="116">
        <v>0</v>
      </c>
      <c r="S921" s="116">
        <v>0</v>
      </c>
      <c r="T921" s="117">
        <v>0</v>
      </c>
      <c r="U921" s="153">
        <f t="shared" si="261"/>
        <v>0</v>
      </c>
      <c r="V921" s="128">
        <f t="shared" si="262"/>
        <v>0</v>
      </c>
      <c r="W921" s="128">
        <f t="shared" si="263"/>
        <v>0</v>
      </c>
      <c r="X921" s="128">
        <f t="shared" si="264"/>
        <v>0</v>
      </c>
      <c r="Y921" s="128">
        <f t="shared" si="265"/>
        <v>0</v>
      </c>
      <c r="Z921" s="195">
        <f t="shared" si="266"/>
        <v>0</v>
      </c>
      <c r="AA921" s="194">
        <f t="shared" si="267"/>
        <v>0</v>
      </c>
    </row>
    <row r="922" spans="1:27" s="40" customFormat="1" ht="15" customHeight="1">
      <c r="A922" s="152"/>
      <c r="B922" s="274" t="s">
        <v>93</v>
      </c>
      <c r="C922" s="275"/>
      <c r="D922" s="275"/>
      <c r="E922" s="275"/>
      <c r="F922" s="276"/>
      <c r="G922" s="277">
        <v>12000</v>
      </c>
      <c r="H922" s="278"/>
      <c r="I922" s="116">
        <v>6000</v>
      </c>
      <c r="J922" s="116">
        <v>0</v>
      </c>
      <c r="K922" s="116">
        <v>0</v>
      </c>
      <c r="L922" s="116">
        <v>0</v>
      </c>
      <c r="M922" s="116">
        <v>0</v>
      </c>
      <c r="N922" s="116">
        <v>0</v>
      </c>
      <c r="O922" s="116">
        <f>6000+6000</f>
        <v>12000</v>
      </c>
      <c r="P922" s="116">
        <v>0</v>
      </c>
      <c r="Q922" s="116">
        <v>0</v>
      </c>
      <c r="R922" s="116">
        <v>0</v>
      </c>
      <c r="S922" s="116">
        <v>0</v>
      </c>
      <c r="T922" s="117">
        <v>0</v>
      </c>
      <c r="U922" s="153">
        <f t="shared" si="261"/>
        <v>0</v>
      </c>
      <c r="V922" s="128">
        <f t="shared" si="262"/>
        <v>12000</v>
      </c>
      <c r="W922" s="128">
        <f t="shared" si="263"/>
        <v>0</v>
      </c>
      <c r="X922" s="128">
        <f t="shared" si="264"/>
        <v>0</v>
      </c>
      <c r="Y922" s="128">
        <f t="shared" si="265"/>
        <v>0</v>
      </c>
      <c r="Z922" s="195">
        <f t="shared" si="266"/>
        <v>0</v>
      </c>
      <c r="AA922" s="194">
        <f t="shared" si="267"/>
        <v>0</v>
      </c>
    </row>
    <row r="923" spans="1:27" s="40" customFormat="1" ht="15" customHeight="1">
      <c r="A923" s="152"/>
      <c r="B923" s="274" t="s">
        <v>69</v>
      </c>
      <c r="C923" s="275"/>
      <c r="D923" s="275"/>
      <c r="E923" s="275"/>
      <c r="F923" s="276"/>
      <c r="G923" s="277">
        <v>4400</v>
      </c>
      <c r="H923" s="278"/>
      <c r="I923" s="116">
        <v>0</v>
      </c>
      <c r="J923" s="116">
        <v>0</v>
      </c>
      <c r="K923" s="116">
        <v>0</v>
      </c>
      <c r="L923" s="116">
        <v>0</v>
      </c>
      <c r="M923" s="116">
        <v>0</v>
      </c>
      <c r="N923" s="116">
        <v>0</v>
      </c>
      <c r="O923" s="116">
        <v>4400</v>
      </c>
      <c r="P923" s="116">
        <v>0</v>
      </c>
      <c r="Q923" s="116">
        <v>0</v>
      </c>
      <c r="R923" s="116">
        <v>1952.17</v>
      </c>
      <c r="S923" s="116">
        <v>0</v>
      </c>
      <c r="T923" s="117">
        <v>0</v>
      </c>
      <c r="U923" s="153">
        <f t="shared" si="261"/>
        <v>0.44367500000000004</v>
      </c>
      <c r="V923" s="128">
        <f t="shared" si="262"/>
        <v>4400</v>
      </c>
      <c r="W923" s="128">
        <f t="shared" si="263"/>
        <v>0</v>
      </c>
      <c r="X923" s="128">
        <f t="shared" si="264"/>
        <v>1952.17</v>
      </c>
      <c r="Y923" s="128">
        <f t="shared" si="265"/>
        <v>0</v>
      </c>
      <c r="Z923" s="195">
        <f t="shared" si="266"/>
        <v>0.44367500000000004</v>
      </c>
      <c r="AA923" s="194">
        <f t="shared" si="267"/>
        <v>0</v>
      </c>
    </row>
    <row r="924" spans="1:27" s="40" customFormat="1" ht="15" customHeight="1">
      <c r="A924" s="152"/>
      <c r="B924" s="274" t="s">
        <v>94</v>
      </c>
      <c r="C924" s="275"/>
      <c r="D924" s="275"/>
      <c r="E924" s="275"/>
      <c r="F924" s="276"/>
      <c r="G924" s="277">
        <v>3200</v>
      </c>
      <c r="H924" s="278"/>
      <c r="I924" s="116">
        <v>0</v>
      </c>
      <c r="J924" s="116">
        <v>0</v>
      </c>
      <c r="K924" s="116">
        <v>0</v>
      </c>
      <c r="L924" s="116">
        <v>2289</v>
      </c>
      <c r="M924" s="116">
        <v>0</v>
      </c>
      <c r="N924" s="116">
        <v>0</v>
      </c>
      <c r="O924" s="116">
        <f>800+800</f>
        <v>1600</v>
      </c>
      <c r="P924" s="116">
        <v>0</v>
      </c>
      <c r="Q924" s="116">
        <v>0</v>
      </c>
      <c r="R924" s="116">
        <f>2289</f>
        <v>2289</v>
      </c>
      <c r="S924" s="116">
        <v>0</v>
      </c>
      <c r="T924" s="117">
        <v>0</v>
      </c>
      <c r="U924" s="153">
        <f t="shared" si="261"/>
        <v>0.71531250000000002</v>
      </c>
      <c r="V924" s="128">
        <f t="shared" si="262"/>
        <v>1600</v>
      </c>
      <c r="W924" s="128">
        <f t="shared" si="263"/>
        <v>0</v>
      </c>
      <c r="X924" s="128">
        <f t="shared" si="264"/>
        <v>2289</v>
      </c>
      <c r="Y924" s="128">
        <f t="shared" si="265"/>
        <v>0</v>
      </c>
      <c r="Z924" s="195">
        <f t="shared" si="266"/>
        <v>0.71531250000000002</v>
      </c>
      <c r="AA924" s="194">
        <f t="shared" si="267"/>
        <v>0</v>
      </c>
    </row>
    <row r="925" spans="1:27" ht="15.75" thickBot="1">
      <c r="A925" s="23"/>
      <c r="B925" s="469"/>
      <c r="C925" s="297"/>
      <c r="D925" s="297"/>
      <c r="E925" s="297"/>
      <c r="F925" s="470"/>
      <c r="G925" s="456"/>
      <c r="H925" s="468"/>
      <c r="I925" s="55"/>
      <c r="J925" s="55"/>
      <c r="K925" s="55"/>
      <c r="L925" s="55"/>
      <c r="M925" s="55"/>
      <c r="N925" s="55"/>
      <c r="O925" s="55"/>
      <c r="P925" s="55"/>
      <c r="Q925" s="55"/>
      <c r="R925" s="55"/>
      <c r="S925" s="55"/>
      <c r="T925" s="76"/>
      <c r="U925" s="77"/>
    </row>
    <row r="926" spans="1:27" ht="15.75" thickBot="1">
      <c r="A926" s="23"/>
      <c r="B926" s="257" t="s">
        <v>21</v>
      </c>
      <c r="C926" s="258"/>
      <c r="D926" s="258"/>
      <c r="E926" s="258"/>
      <c r="F926" s="259"/>
      <c r="G926" s="260">
        <f>SUM(G917:H925)</f>
        <v>104428</v>
      </c>
      <c r="H926" s="261"/>
      <c r="I926" s="29">
        <f>SUM(I917:I925)</f>
        <v>17500</v>
      </c>
      <c r="J926" s="29"/>
      <c r="K926" s="29"/>
      <c r="L926" s="29">
        <f>SUM(L917:L925)</f>
        <v>6093.87</v>
      </c>
      <c r="M926" s="29"/>
      <c r="N926" s="29"/>
      <c r="O926" s="29">
        <f>SUM(O917:O925)</f>
        <v>57828</v>
      </c>
      <c r="P926" s="29"/>
      <c r="Q926" s="29"/>
      <c r="R926" s="29">
        <f>SUM(R917:R925)</f>
        <v>36374.04</v>
      </c>
      <c r="S926" s="30"/>
      <c r="T926" s="73"/>
      <c r="U926" s="71">
        <f t="shared" ref="U926" si="268">R926/G926</f>
        <v>0.34831692649480983</v>
      </c>
      <c r="V926" s="128">
        <f>+I926+O805</f>
        <v>57828</v>
      </c>
      <c r="W926" s="128">
        <f>+O926-V926</f>
        <v>0</v>
      </c>
      <c r="X926" s="128">
        <f>+L926+R805</f>
        <v>36374.04</v>
      </c>
      <c r="Y926" s="128">
        <f>+R926-X926</f>
        <v>0</v>
      </c>
      <c r="Z926" s="195">
        <f>+X926/G926</f>
        <v>0.34831692649480983</v>
      </c>
      <c r="AA926" s="194">
        <f>+U926-Z926</f>
        <v>0</v>
      </c>
    </row>
    <row r="927" spans="1:27" ht="15.75" thickBot="1">
      <c r="C927" s="32"/>
      <c r="I927" s="104">
        <f>SUM(I914,I926)</f>
        <v>73650</v>
      </c>
      <c r="J927" s="130"/>
      <c r="K927" s="130"/>
      <c r="L927" s="104">
        <f>SUM(L914,L926)</f>
        <v>102442.62</v>
      </c>
      <c r="M927" s="130"/>
      <c r="N927" s="131"/>
      <c r="O927" s="104">
        <f>SUM(O914,O926)</f>
        <v>550486</v>
      </c>
      <c r="P927" s="130"/>
      <c r="Q927" s="130"/>
      <c r="R927" s="104">
        <f>SUM(R914,R926)</f>
        <v>363855.68999999994</v>
      </c>
      <c r="U927" s="33"/>
    </row>
    <row r="928" spans="1:27" ht="15.75" thickBot="1">
      <c r="B928" s="262" t="s">
        <v>31</v>
      </c>
      <c r="C928" s="263"/>
      <c r="D928" s="263"/>
      <c r="E928" s="263"/>
      <c r="F928" s="263"/>
      <c r="G928" s="263"/>
      <c r="H928" s="263"/>
      <c r="I928" s="263"/>
      <c r="J928" s="263"/>
      <c r="K928" s="263"/>
      <c r="L928" s="263"/>
      <c r="M928" s="263"/>
      <c r="N928" s="263"/>
      <c r="O928" s="263"/>
      <c r="P928" s="263"/>
      <c r="Q928" s="263"/>
      <c r="R928" s="263"/>
      <c r="S928" s="263"/>
      <c r="T928" s="263"/>
      <c r="U928" s="263"/>
      <c r="V928" s="34"/>
    </row>
    <row r="929" spans="1:21" ht="15" customHeight="1" thickBot="1">
      <c r="B929" s="264"/>
      <c r="C929" s="265"/>
      <c r="D929" s="267" t="s">
        <v>15</v>
      </c>
      <c r="E929" s="268"/>
      <c r="F929" s="268"/>
      <c r="G929" s="268"/>
      <c r="H929" s="268"/>
      <c r="I929" s="269"/>
      <c r="J929" s="267" t="s">
        <v>32</v>
      </c>
      <c r="K929" s="268"/>
      <c r="L929" s="268"/>
      <c r="M929" s="268"/>
      <c r="N929" s="268"/>
      <c r="O929" s="269"/>
      <c r="P929" s="267" t="s">
        <v>17</v>
      </c>
      <c r="Q929" s="268"/>
      <c r="R929" s="268"/>
      <c r="S929" s="268"/>
      <c r="T929" s="268"/>
      <c r="U929" s="35"/>
    </row>
    <row r="930" spans="1:21" ht="15.75" customHeight="1" thickBot="1">
      <c r="B930" s="219"/>
      <c r="C930" s="266"/>
      <c r="D930" s="270" t="s">
        <v>26</v>
      </c>
      <c r="E930" s="271"/>
      <c r="F930" s="272" t="s">
        <v>27</v>
      </c>
      <c r="G930" s="273"/>
      <c r="H930" s="268" t="s">
        <v>28</v>
      </c>
      <c r="I930" s="269"/>
      <c r="J930" s="272" t="s">
        <v>26</v>
      </c>
      <c r="K930" s="273"/>
      <c r="L930" s="272" t="s">
        <v>27</v>
      </c>
      <c r="M930" s="273"/>
      <c r="N930" s="268" t="s">
        <v>28</v>
      </c>
      <c r="O930" s="269"/>
      <c r="P930" s="272" t="s">
        <v>26</v>
      </c>
      <c r="Q930" s="273"/>
      <c r="R930" s="272" t="s">
        <v>27</v>
      </c>
      <c r="S930" s="273"/>
      <c r="T930" s="268" t="s">
        <v>28</v>
      </c>
      <c r="U930" s="269"/>
    </row>
    <row r="931" spans="1:21" ht="30" customHeight="1">
      <c r="A931" s="23"/>
      <c r="B931" s="250" t="s">
        <v>33</v>
      </c>
      <c r="C931" s="251"/>
      <c r="D931" s="252">
        <v>675408</v>
      </c>
      <c r="E931" s="253"/>
      <c r="F931" s="252">
        <v>0</v>
      </c>
      <c r="G931" s="253"/>
      <c r="H931" s="252">
        <v>0</v>
      </c>
      <c r="I931" s="253"/>
      <c r="J931" s="254">
        <v>96348.75</v>
      </c>
      <c r="K931" s="255"/>
      <c r="L931" s="240">
        <v>0</v>
      </c>
      <c r="M931" s="253"/>
      <c r="N931" s="240">
        <v>0</v>
      </c>
      <c r="O931" s="256"/>
      <c r="P931" s="254">
        <f>23416.71+27887.03+23419.61+20279.25+15856.72+25980.18+94293.4+96348.75</f>
        <v>327481.65000000002</v>
      </c>
      <c r="Q931" s="255"/>
      <c r="R931" s="240">
        <v>0</v>
      </c>
      <c r="S931" s="253"/>
      <c r="T931" s="240">
        <v>0</v>
      </c>
      <c r="U931" s="241"/>
    </row>
    <row r="932" spans="1:21" ht="30" customHeight="1" thickBot="1">
      <c r="A932" s="4"/>
      <c r="B932" s="242" t="s">
        <v>34</v>
      </c>
      <c r="C932" s="243"/>
      <c r="D932" s="244">
        <v>104428</v>
      </c>
      <c r="E932" s="245"/>
      <c r="F932" s="244">
        <v>0</v>
      </c>
      <c r="G932" s="245"/>
      <c r="H932" s="244">
        <v>0</v>
      </c>
      <c r="I932" s="245"/>
      <c r="J932" s="244">
        <v>6093.87</v>
      </c>
      <c r="K932" s="245"/>
      <c r="L932" s="246">
        <v>0</v>
      </c>
      <c r="M932" s="245"/>
      <c r="N932" s="246">
        <v>0</v>
      </c>
      <c r="O932" s="247"/>
      <c r="P932" s="248">
        <f>0+0+0+12328+6710.67+9289.33+1952.17+6093.87</f>
        <v>36374.04</v>
      </c>
      <c r="Q932" s="249"/>
      <c r="R932" s="246">
        <v>0</v>
      </c>
      <c r="S932" s="245"/>
      <c r="T932" s="246">
        <v>0</v>
      </c>
      <c r="U932" s="247"/>
    </row>
    <row r="933" spans="1:21" ht="15.75" thickBot="1">
      <c r="A933" s="23"/>
      <c r="B933" s="233" t="s">
        <v>21</v>
      </c>
      <c r="C933" s="234"/>
      <c r="D933" s="235">
        <f>SUM(D931:E932)</f>
        <v>779836</v>
      </c>
      <c r="E933" s="236"/>
      <c r="F933" s="235">
        <f>SUM(F931:G932)</f>
        <v>0</v>
      </c>
      <c r="G933" s="236"/>
      <c r="H933" s="235">
        <f>SUM(H931:I932)</f>
        <v>0</v>
      </c>
      <c r="I933" s="236"/>
      <c r="J933" s="237">
        <f>SUM(J931:K932)</f>
        <v>102442.62</v>
      </c>
      <c r="K933" s="238"/>
      <c r="L933" s="215">
        <f>SUM(L931:M932)</f>
        <v>0</v>
      </c>
      <c r="M933" s="238"/>
      <c r="N933" s="236">
        <f>SUM(N931:O932)</f>
        <v>0</v>
      </c>
      <c r="O933" s="236"/>
      <c r="P933" s="237">
        <f>SUM(P931:Q932)</f>
        <v>363855.69</v>
      </c>
      <c r="Q933" s="239"/>
      <c r="R933" s="215">
        <f>SUM(R931:S932)</f>
        <v>0</v>
      </c>
      <c r="S933" s="238"/>
      <c r="T933" s="215">
        <f>SUM(T931:U932)</f>
        <v>0</v>
      </c>
      <c r="U933" s="216"/>
    </row>
    <row r="934" spans="1:21">
      <c r="A934" s="23"/>
      <c r="B934" s="122"/>
      <c r="C934" s="122"/>
      <c r="D934" s="122"/>
      <c r="E934" s="122"/>
      <c r="F934" s="120"/>
      <c r="G934" s="120"/>
      <c r="H934" s="127"/>
      <c r="I934" s="127"/>
      <c r="J934" s="120"/>
      <c r="K934" s="120"/>
      <c r="L934" s="115"/>
      <c r="M934" s="127"/>
      <c r="N934" s="120"/>
      <c r="O934" s="127"/>
      <c r="P934" s="127"/>
      <c r="Q934" s="120"/>
      <c r="R934" s="23"/>
      <c r="S934" s="23"/>
      <c r="T934" s="23"/>
      <c r="U934" s="23"/>
    </row>
    <row r="935" spans="1:21" ht="15.75" thickBot="1">
      <c r="A935" s="23"/>
      <c r="B935" s="122"/>
      <c r="C935" s="122"/>
      <c r="D935" s="122"/>
      <c r="E935" s="122"/>
      <c r="F935" s="120"/>
      <c r="G935" s="120"/>
      <c r="H935" s="120"/>
      <c r="I935" s="120"/>
      <c r="J935" s="120"/>
      <c r="K935" s="120"/>
      <c r="L935" s="120"/>
      <c r="M935" s="120"/>
      <c r="N935" s="120"/>
      <c r="O935" s="120"/>
      <c r="P935" s="120"/>
      <c r="Q935" s="120"/>
      <c r="R935" s="23"/>
      <c r="S935" s="23"/>
      <c r="T935" s="23"/>
      <c r="U935" s="23"/>
    </row>
    <row r="936" spans="1:21" ht="15.75" thickBot="1">
      <c r="B936" s="217" t="s">
        <v>35</v>
      </c>
      <c r="C936" s="218"/>
      <c r="D936" s="218"/>
      <c r="E936" s="219"/>
      <c r="F936" s="205"/>
      <c r="G936" s="205"/>
      <c r="H936" s="205"/>
      <c r="I936" s="205"/>
      <c r="J936" s="205"/>
      <c r="K936" s="205"/>
      <c r="L936" s="205"/>
      <c r="M936" s="205"/>
      <c r="N936" s="205"/>
      <c r="O936" s="205"/>
      <c r="P936" s="205"/>
      <c r="Q936" s="205"/>
      <c r="R936" s="205"/>
      <c r="S936" s="205"/>
      <c r="T936" s="205"/>
      <c r="U936" s="205"/>
    </row>
    <row r="937" spans="1:21">
      <c r="B937" s="444"/>
      <c r="C937" s="445"/>
      <c r="D937" s="445"/>
      <c r="E937" s="445"/>
      <c r="F937" s="445"/>
      <c r="G937" s="445"/>
      <c r="H937" s="445"/>
      <c r="I937" s="445"/>
      <c r="J937" s="445"/>
      <c r="K937" s="445"/>
      <c r="L937" s="445"/>
      <c r="M937" s="445"/>
      <c r="N937" s="445"/>
      <c r="O937" s="445"/>
      <c r="P937" s="445"/>
      <c r="Q937" s="445"/>
      <c r="R937" s="445"/>
      <c r="S937" s="445"/>
      <c r="T937" s="445"/>
      <c r="U937" s="446"/>
    </row>
    <row r="938" spans="1:21">
      <c r="B938" s="447"/>
      <c r="C938" s="448"/>
      <c r="D938" s="448"/>
      <c r="E938" s="448"/>
      <c r="F938" s="448"/>
      <c r="G938" s="448"/>
      <c r="H938" s="448"/>
      <c r="I938" s="448"/>
      <c r="J938" s="448"/>
      <c r="K938" s="448"/>
      <c r="L938" s="448"/>
      <c r="M938" s="448"/>
      <c r="N938" s="448"/>
      <c r="O938" s="448"/>
      <c r="P938" s="448"/>
      <c r="Q938" s="448"/>
      <c r="R938" s="448"/>
      <c r="S938" s="448"/>
      <c r="T938" s="448"/>
      <c r="U938" s="449"/>
    </row>
    <row r="939" spans="1:21">
      <c r="B939" s="447"/>
      <c r="C939" s="448"/>
      <c r="D939" s="448"/>
      <c r="E939" s="448"/>
      <c r="F939" s="448"/>
      <c r="G939" s="448"/>
      <c r="H939" s="448"/>
      <c r="I939" s="448"/>
      <c r="J939" s="448"/>
      <c r="K939" s="448"/>
      <c r="L939" s="448"/>
      <c r="M939" s="448"/>
      <c r="N939" s="448"/>
      <c r="O939" s="448"/>
      <c r="P939" s="448"/>
      <c r="Q939" s="448"/>
      <c r="R939" s="448"/>
      <c r="S939" s="448"/>
      <c r="T939" s="448"/>
      <c r="U939" s="449"/>
    </row>
    <row r="940" spans="1:21">
      <c r="B940" s="447"/>
      <c r="C940" s="448"/>
      <c r="D940" s="448"/>
      <c r="E940" s="448"/>
      <c r="F940" s="448"/>
      <c r="G940" s="448"/>
      <c r="H940" s="448"/>
      <c r="I940" s="448"/>
      <c r="J940" s="448"/>
      <c r="K940" s="448"/>
      <c r="L940" s="448"/>
      <c r="M940" s="448"/>
      <c r="N940" s="448"/>
      <c r="O940" s="448"/>
      <c r="P940" s="448"/>
      <c r="Q940" s="448"/>
      <c r="R940" s="448"/>
      <c r="S940" s="448"/>
      <c r="T940" s="448"/>
      <c r="U940" s="449"/>
    </row>
    <row r="941" spans="1:21">
      <c r="B941" s="447"/>
      <c r="C941" s="448"/>
      <c r="D941" s="448"/>
      <c r="E941" s="448"/>
      <c r="F941" s="448"/>
      <c r="G941" s="448"/>
      <c r="H941" s="448"/>
      <c r="I941" s="448"/>
      <c r="J941" s="448"/>
      <c r="K941" s="448"/>
      <c r="L941" s="448"/>
      <c r="M941" s="448"/>
      <c r="N941" s="448"/>
      <c r="O941" s="448"/>
      <c r="P941" s="448"/>
      <c r="Q941" s="448"/>
      <c r="R941" s="448"/>
      <c r="S941" s="448"/>
      <c r="T941" s="448"/>
      <c r="U941" s="449"/>
    </row>
    <row r="942" spans="1:21">
      <c r="B942" s="447"/>
      <c r="C942" s="448"/>
      <c r="D942" s="448"/>
      <c r="E942" s="448"/>
      <c r="F942" s="448"/>
      <c r="G942" s="448"/>
      <c r="H942" s="448"/>
      <c r="I942" s="448"/>
      <c r="J942" s="448"/>
      <c r="K942" s="448"/>
      <c r="L942" s="448"/>
      <c r="M942" s="448"/>
      <c r="N942" s="448"/>
      <c r="O942" s="448"/>
      <c r="P942" s="448"/>
      <c r="Q942" s="448"/>
      <c r="R942" s="448"/>
      <c r="S942" s="448"/>
      <c r="T942" s="448"/>
      <c r="U942" s="449"/>
    </row>
    <row r="943" spans="1:21" ht="15.75" thickBot="1">
      <c r="B943" s="450"/>
      <c r="C943" s="451"/>
      <c r="D943" s="451"/>
      <c r="E943" s="451"/>
      <c r="F943" s="451"/>
      <c r="G943" s="451"/>
      <c r="H943" s="451"/>
      <c r="I943" s="451"/>
      <c r="J943" s="451"/>
      <c r="K943" s="451"/>
      <c r="L943" s="451"/>
      <c r="M943" s="451"/>
      <c r="N943" s="451"/>
      <c r="O943" s="451"/>
      <c r="P943" s="451"/>
      <c r="Q943" s="451"/>
      <c r="R943" s="451"/>
      <c r="S943" s="451"/>
      <c r="T943" s="451"/>
      <c r="U943" s="452"/>
    </row>
    <row r="944" spans="1:21">
      <c r="B944" s="23"/>
    </row>
    <row r="945" spans="2:21">
      <c r="H945" s="40"/>
      <c r="I945" s="40"/>
      <c r="O945" s="40"/>
      <c r="Q945" s="40"/>
    </row>
    <row r="946" spans="2:21">
      <c r="B946" s="220" t="s">
        <v>38</v>
      </c>
      <c r="C946" s="220"/>
      <c r="D946" s="220"/>
      <c r="E946" s="220"/>
      <c r="F946" s="220"/>
      <c r="G946" s="220"/>
      <c r="I946" s="41"/>
      <c r="J946" s="213" t="s">
        <v>36</v>
      </c>
      <c r="K946" s="213"/>
      <c r="L946" s="213"/>
      <c r="M946" s="213"/>
      <c r="N946" s="213"/>
      <c r="O946" s="213"/>
      <c r="R946" s="213" t="s">
        <v>37</v>
      </c>
      <c r="S946" s="213"/>
      <c r="T946" s="213"/>
      <c r="U946" s="213"/>
    </row>
    <row r="947" spans="2:21">
      <c r="B947" s="220"/>
      <c r="C947" s="220"/>
      <c r="D947" s="220"/>
      <c r="E947" s="220"/>
      <c r="F947" s="220"/>
      <c r="G947" s="220"/>
      <c r="H947" s="42"/>
      <c r="I947" s="42"/>
      <c r="J947" s="221"/>
      <c r="K947" s="221"/>
      <c r="L947" s="221"/>
      <c r="M947" s="221"/>
      <c r="N947" s="221"/>
      <c r="O947" s="221"/>
      <c r="P947" s="42"/>
      <c r="Q947" s="42"/>
      <c r="R947" s="210" t="s">
        <v>0</v>
      </c>
      <c r="S947" s="210"/>
      <c r="T947" s="210"/>
      <c r="U947" s="210"/>
    </row>
    <row r="948" spans="2:21">
      <c r="B948" s="220"/>
      <c r="C948" s="220"/>
      <c r="D948" s="220"/>
      <c r="E948" s="220"/>
      <c r="F948" s="220"/>
      <c r="G948" s="220"/>
      <c r="H948" s="160"/>
      <c r="I948" s="160"/>
      <c r="J948" s="221"/>
      <c r="K948" s="221"/>
      <c r="L948" s="221"/>
      <c r="M948" s="221"/>
      <c r="N948" s="221"/>
      <c r="O948" s="221"/>
      <c r="P948" s="160"/>
      <c r="Q948" s="160"/>
      <c r="R948" s="210"/>
      <c r="S948" s="210"/>
      <c r="T948" s="210"/>
      <c r="U948" s="210"/>
    </row>
    <row r="949" spans="2:21">
      <c r="B949" s="220"/>
      <c r="C949" s="220"/>
      <c r="D949" s="220"/>
      <c r="E949" s="220"/>
      <c r="F949" s="220"/>
      <c r="G949" s="220"/>
      <c r="H949" s="160"/>
      <c r="I949" s="160"/>
      <c r="J949" s="221"/>
      <c r="K949" s="221"/>
      <c r="L949" s="221"/>
      <c r="M949" s="221"/>
      <c r="N949" s="221"/>
      <c r="O949" s="221"/>
      <c r="P949" s="160"/>
      <c r="Q949" s="160"/>
      <c r="R949" s="210"/>
      <c r="S949" s="210"/>
      <c r="T949" s="210"/>
      <c r="U949" s="210"/>
    </row>
    <row r="950" spans="2:21">
      <c r="B950" s="220"/>
      <c r="C950" s="220"/>
      <c r="D950" s="220"/>
      <c r="E950" s="220"/>
      <c r="F950" s="220"/>
      <c r="G950" s="220"/>
      <c r="H950" s="160"/>
      <c r="I950" s="160"/>
      <c r="J950" s="221"/>
      <c r="K950" s="221"/>
      <c r="L950" s="221"/>
      <c r="M950" s="221"/>
      <c r="N950" s="221"/>
      <c r="O950" s="221"/>
      <c r="P950" s="160"/>
      <c r="Q950" s="160"/>
      <c r="R950" s="210"/>
      <c r="S950" s="210"/>
      <c r="T950" s="210"/>
      <c r="U950" s="210"/>
    </row>
    <row r="951" spans="2:21" ht="15.75" thickBot="1">
      <c r="B951" s="223"/>
      <c r="C951" s="223"/>
      <c r="D951" s="223"/>
      <c r="E951" s="223"/>
      <c r="F951" s="223"/>
      <c r="G951" s="223"/>
      <c r="J951" s="222"/>
      <c r="K951" s="222"/>
      <c r="L951" s="222"/>
      <c r="M951" s="222"/>
      <c r="N951" s="222"/>
      <c r="O951" s="222"/>
      <c r="R951" s="205"/>
      <c r="S951" s="205"/>
      <c r="T951" s="205"/>
      <c r="U951" s="205"/>
    </row>
    <row r="952" spans="2:21">
      <c r="B952" s="210" t="s">
        <v>101</v>
      </c>
      <c r="C952" s="210"/>
      <c r="D952" s="210"/>
      <c r="E952" s="210"/>
      <c r="F952" s="210"/>
      <c r="G952" s="210"/>
      <c r="J952" s="204" t="s">
        <v>102</v>
      </c>
      <c r="K952" s="204"/>
      <c r="L952" s="204"/>
      <c r="M952" s="204"/>
      <c r="N952" s="204"/>
      <c r="O952" s="204"/>
      <c r="R952" s="211" t="s">
        <v>137</v>
      </c>
      <c r="S952" s="211"/>
      <c r="T952" s="211"/>
      <c r="U952" s="211"/>
    </row>
    <row r="953" spans="2:21">
      <c r="B953" s="204" t="s">
        <v>103</v>
      </c>
      <c r="C953" s="204"/>
      <c r="D953" s="204"/>
      <c r="E953" s="204"/>
      <c r="F953" s="204"/>
      <c r="G953" s="204"/>
      <c r="J953" s="212" t="s">
        <v>104</v>
      </c>
      <c r="K953" s="212"/>
      <c r="L953" s="212"/>
      <c r="M953" s="212"/>
      <c r="N953" s="212"/>
      <c r="O953" s="212"/>
      <c r="P953" s="118"/>
      <c r="Q953" s="118"/>
      <c r="R953" s="212" t="s">
        <v>105</v>
      </c>
      <c r="S953" s="212"/>
      <c r="T953" s="212"/>
      <c r="U953" s="212"/>
    </row>
    <row r="955" spans="2:21">
      <c r="J955" s="213" t="s">
        <v>50</v>
      </c>
      <c r="K955" s="213"/>
      <c r="L955" s="213"/>
      <c r="M955" s="213"/>
      <c r="N955" s="213"/>
      <c r="O955" s="213"/>
    </row>
    <row r="956" spans="2:21">
      <c r="C956" s="214" t="s">
        <v>157</v>
      </c>
      <c r="D956" s="214"/>
      <c r="E956" s="214"/>
      <c r="F956" s="214"/>
      <c r="J956" s="206" t="s">
        <v>48</v>
      </c>
      <c r="K956" s="206"/>
      <c r="L956" s="206"/>
      <c r="M956" s="206"/>
      <c r="N956" s="206"/>
      <c r="O956" s="206"/>
      <c r="R956" s="206" t="s">
        <v>51</v>
      </c>
      <c r="S956" s="206"/>
      <c r="T956" s="206"/>
      <c r="U956" s="206"/>
    </row>
    <row r="957" spans="2:21">
      <c r="B957" s="204"/>
      <c r="C957" s="204"/>
      <c r="D957" s="204"/>
      <c r="E957" s="204"/>
      <c r="F957" s="204"/>
      <c r="G957" s="204"/>
      <c r="J957" s="206"/>
      <c r="K957" s="206"/>
      <c r="L957" s="206"/>
      <c r="M957" s="206"/>
      <c r="N957" s="206"/>
      <c r="O957" s="206"/>
      <c r="R957" s="204"/>
      <c r="S957" s="204"/>
      <c r="T957" s="204"/>
      <c r="U957" s="204"/>
    </row>
    <row r="958" spans="2:21">
      <c r="B958" s="204"/>
      <c r="C958" s="204"/>
      <c r="D958" s="204"/>
      <c r="E958" s="204"/>
      <c r="F958" s="204"/>
      <c r="G958" s="204"/>
      <c r="J958" s="206"/>
      <c r="K958" s="206"/>
      <c r="L958" s="206"/>
      <c r="M958" s="206"/>
      <c r="N958" s="206"/>
      <c r="O958" s="206"/>
      <c r="R958" s="204"/>
      <c r="S958" s="204"/>
      <c r="T958" s="204"/>
      <c r="U958" s="204"/>
    </row>
    <row r="959" spans="2:21">
      <c r="B959" s="204"/>
      <c r="C959" s="204"/>
      <c r="D959" s="204"/>
      <c r="E959" s="204"/>
      <c r="F959" s="204"/>
      <c r="G959" s="204"/>
      <c r="J959" s="206"/>
      <c r="K959" s="206"/>
      <c r="L959" s="206"/>
      <c r="M959" s="206"/>
      <c r="N959" s="206"/>
      <c r="O959" s="206"/>
      <c r="R959" s="204"/>
      <c r="S959" s="204"/>
      <c r="T959" s="204"/>
      <c r="U959" s="204"/>
    </row>
    <row r="960" spans="2:21" ht="15.75" thickBot="1">
      <c r="B960" s="205"/>
      <c r="C960" s="205"/>
      <c r="D960" s="205"/>
      <c r="E960" s="205"/>
      <c r="F960" s="205"/>
      <c r="G960" s="205"/>
      <c r="H960" s="51"/>
      <c r="I960" s="51"/>
      <c r="J960" s="207"/>
      <c r="K960" s="207"/>
      <c r="L960" s="207"/>
      <c r="M960" s="207"/>
      <c r="N960" s="207"/>
      <c r="O960" s="207"/>
      <c r="P960" s="51"/>
      <c r="Q960" s="51"/>
      <c r="R960" s="205"/>
      <c r="S960" s="205"/>
      <c r="T960" s="205"/>
      <c r="U960" s="205"/>
    </row>
    <row r="961" spans="1:21">
      <c r="B961" s="208" t="s">
        <v>106</v>
      </c>
      <c r="C961" s="208"/>
      <c r="D961" s="208"/>
      <c r="E961" s="208"/>
      <c r="F961" s="208"/>
      <c r="G961" s="208"/>
      <c r="H961" s="119"/>
      <c r="I961" s="119"/>
      <c r="J961" s="208" t="s">
        <v>107</v>
      </c>
      <c r="K961" s="208"/>
      <c r="L961" s="208"/>
      <c r="M961" s="208"/>
      <c r="N961" s="208"/>
      <c r="O961" s="208"/>
      <c r="P961" s="51"/>
      <c r="Q961" s="51"/>
      <c r="R961" s="208" t="s">
        <v>108</v>
      </c>
      <c r="S961" s="208"/>
      <c r="T961" s="208"/>
      <c r="U961" s="208"/>
    </row>
    <row r="962" spans="1:21" ht="32.25" customHeight="1">
      <c r="B962" s="209" t="s">
        <v>109</v>
      </c>
      <c r="C962" s="209"/>
      <c r="D962" s="209"/>
      <c r="E962" s="209"/>
      <c r="F962" s="209"/>
      <c r="G962" s="209"/>
      <c r="J962" s="209" t="s">
        <v>110</v>
      </c>
      <c r="K962" s="209"/>
      <c r="L962" s="209"/>
      <c r="M962" s="209"/>
      <c r="N962" s="209"/>
      <c r="O962" s="209"/>
      <c r="R962" s="209" t="s">
        <v>111</v>
      </c>
      <c r="S962" s="209"/>
      <c r="T962" s="209"/>
      <c r="U962" s="209"/>
    </row>
    <row r="966" spans="1:21" ht="23.25">
      <c r="B966" s="426" t="s">
        <v>114</v>
      </c>
      <c r="C966" s="426"/>
      <c r="D966" s="426"/>
      <c r="E966" s="426"/>
      <c r="F966" s="426"/>
      <c r="G966" s="426"/>
      <c r="H966" s="426"/>
      <c r="I966" s="426"/>
      <c r="J966" s="426"/>
      <c r="K966" s="426"/>
      <c r="L966" s="426"/>
      <c r="M966" s="426"/>
      <c r="N966" s="426"/>
      <c r="O966" s="426"/>
      <c r="P966" s="426"/>
      <c r="Q966" s="426"/>
      <c r="R966" s="426"/>
      <c r="S966" s="426"/>
      <c r="T966" s="426"/>
      <c r="U966" s="426"/>
    </row>
    <row r="969" spans="1:21" ht="15" customHeight="1"/>
    <row r="970" spans="1:21" ht="15" customHeight="1">
      <c r="F970" s="1"/>
      <c r="G970" s="1"/>
      <c r="H970" s="1"/>
      <c r="I970" s="1"/>
      <c r="J970" s="1"/>
      <c r="K970" s="1"/>
      <c r="L970" s="1"/>
      <c r="M970" s="1"/>
      <c r="N970" s="1"/>
      <c r="O970" s="1"/>
    </row>
    <row r="971" spans="1:21" ht="15" customHeight="1">
      <c r="B971" s="427" t="s">
        <v>125</v>
      </c>
      <c r="C971" s="427"/>
      <c r="D971" s="427"/>
      <c r="E971" s="427"/>
      <c r="F971" s="427"/>
      <c r="G971" s="427"/>
      <c r="H971" s="427"/>
      <c r="I971" s="427"/>
      <c r="J971" s="427"/>
      <c r="K971" s="427"/>
      <c r="L971" s="427"/>
      <c r="M971" s="427"/>
      <c r="N971" s="427"/>
      <c r="O971" s="427"/>
      <c r="P971" s="427"/>
      <c r="Q971" s="427"/>
      <c r="R971" s="427"/>
      <c r="S971" s="427"/>
      <c r="T971" s="427"/>
      <c r="U971" s="427"/>
    </row>
    <row r="972" spans="1:21" ht="15" customHeight="1">
      <c r="F972" t="s">
        <v>0</v>
      </c>
    </row>
    <row r="973" spans="1:21" ht="15" customHeight="1">
      <c r="B973" s="2"/>
      <c r="C973" s="2"/>
      <c r="D973" s="2"/>
      <c r="E973" s="2"/>
      <c r="F973" s="2"/>
      <c r="G973" s="2"/>
      <c r="H973" s="2"/>
      <c r="I973" s="2"/>
      <c r="J973" s="2"/>
      <c r="K973" s="2"/>
      <c r="L973" s="2"/>
      <c r="M973" s="2"/>
      <c r="N973" s="2"/>
      <c r="O973" s="2"/>
      <c r="P973" s="2"/>
      <c r="Q973" s="2"/>
      <c r="R973" s="2"/>
      <c r="S973" s="2"/>
      <c r="T973" s="2"/>
      <c r="U973" s="2"/>
    </row>
    <row r="974" spans="1:21" ht="15" customHeight="1" thickBot="1">
      <c r="B974" s="3"/>
      <c r="C974" s="3"/>
      <c r="D974" s="3"/>
      <c r="E974" s="3"/>
      <c r="F974" s="3"/>
      <c r="G974" s="3"/>
      <c r="H974" s="3"/>
      <c r="I974" s="3"/>
      <c r="J974" s="3"/>
      <c r="K974" s="3"/>
      <c r="L974" s="3"/>
      <c r="M974" s="3"/>
      <c r="N974" s="3"/>
      <c r="O974" s="3"/>
      <c r="P974" s="3"/>
      <c r="Q974" s="3"/>
      <c r="R974" s="3"/>
      <c r="S974" s="3"/>
      <c r="T974" s="3"/>
      <c r="U974" s="3"/>
    </row>
    <row r="975" spans="1:21" ht="15" customHeight="1">
      <c r="B975" s="385" t="s">
        <v>1</v>
      </c>
      <c r="C975" s="386"/>
      <c r="D975" s="386"/>
      <c r="E975" s="386"/>
      <c r="F975" s="387"/>
      <c r="G975" s="428" t="s">
        <v>164</v>
      </c>
      <c r="H975" s="429"/>
      <c r="I975" s="429"/>
      <c r="J975" s="429"/>
      <c r="K975" s="429"/>
      <c r="L975" s="429"/>
      <c r="M975" s="429"/>
      <c r="N975" s="429"/>
      <c r="O975" s="429"/>
      <c r="P975" s="429"/>
      <c r="Q975" s="429"/>
      <c r="R975" s="429"/>
      <c r="S975" s="429"/>
      <c r="T975" s="429"/>
      <c r="U975" s="430"/>
    </row>
    <row r="976" spans="1:21" ht="15" customHeight="1">
      <c r="A976" s="4"/>
      <c r="B976" s="431" t="s">
        <v>2</v>
      </c>
      <c r="C976" s="432"/>
      <c r="D976" s="432"/>
      <c r="E976" s="432"/>
      <c r="F976" s="433"/>
      <c r="G976" s="434" t="s">
        <v>163</v>
      </c>
      <c r="H976" s="435"/>
      <c r="I976" s="435"/>
      <c r="J976" s="435"/>
      <c r="K976" s="435"/>
      <c r="L976" s="435"/>
      <c r="M976" s="435"/>
      <c r="N976" s="435"/>
      <c r="O976" s="435"/>
      <c r="P976" s="435"/>
      <c r="Q976" s="435"/>
      <c r="R976" s="435"/>
      <c r="S976" s="435"/>
      <c r="T976" s="435"/>
      <c r="U976" s="436"/>
    </row>
    <row r="977" spans="1:27" ht="15" customHeight="1">
      <c r="A977" s="4"/>
      <c r="B977" s="385" t="s">
        <v>3</v>
      </c>
      <c r="C977" s="386"/>
      <c r="D977" s="386"/>
      <c r="E977" s="386"/>
      <c r="F977" s="387"/>
      <c r="G977" s="437" t="s">
        <v>156</v>
      </c>
      <c r="H977" s="438"/>
      <c r="I977" s="438"/>
      <c r="J977" s="438"/>
      <c r="K977" s="438"/>
      <c r="L977" s="438"/>
      <c r="M977" s="438"/>
      <c r="N977" s="438"/>
      <c r="O977" s="438"/>
      <c r="P977" s="438"/>
      <c r="Q977" s="438"/>
      <c r="R977" s="438"/>
      <c r="S977" s="438"/>
      <c r="T977" s="438"/>
      <c r="U977" s="439"/>
    </row>
    <row r="978" spans="1:27" ht="15" customHeight="1">
      <c r="A978" s="4"/>
      <c r="B978" s="385" t="s">
        <v>4</v>
      </c>
      <c r="C978" s="386"/>
      <c r="D978" s="386"/>
      <c r="E978" s="386"/>
      <c r="F978" s="387"/>
      <c r="G978" s="440" t="s">
        <v>165</v>
      </c>
      <c r="H978" s="441"/>
      <c r="I978" s="441"/>
      <c r="J978" s="441"/>
      <c r="K978" s="441"/>
      <c r="L978" s="441"/>
      <c r="M978" s="441"/>
      <c r="N978" s="441"/>
      <c r="O978" s="441"/>
      <c r="P978" s="441"/>
      <c r="Q978" s="441"/>
      <c r="R978" s="441"/>
      <c r="S978" s="441"/>
      <c r="T978" s="441"/>
      <c r="U978" s="442"/>
    </row>
    <row r="979" spans="1:27" ht="15" customHeight="1">
      <c r="A979" s="4"/>
      <c r="B979" s="385" t="s">
        <v>5</v>
      </c>
      <c r="C979" s="386"/>
      <c r="D979" s="386"/>
      <c r="E979" s="386"/>
      <c r="F979" s="387"/>
      <c r="G979" s="410" t="s">
        <v>6</v>
      </c>
      <c r="H979" s="411"/>
      <c r="I979" s="412">
        <v>779836</v>
      </c>
      <c r="J979" s="413"/>
      <c r="K979" s="413"/>
      <c r="L979" s="414"/>
      <c r="M979" s="5" t="s">
        <v>7</v>
      </c>
      <c r="N979" s="412">
        <v>0</v>
      </c>
      <c r="O979" s="413"/>
      <c r="P979" s="413"/>
      <c r="Q979" s="414"/>
      <c r="R979" s="415" t="s">
        <v>8</v>
      </c>
      <c r="S979" s="416"/>
      <c r="T979" s="412">
        <v>0</v>
      </c>
      <c r="U979" s="417"/>
    </row>
    <row r="980" spans="1:27">
      <c r="A980" s="4"/>
      <c r="B980" s="385" t="s">
        <v>9</v>
      </c>
      <c r="C980" s="386"/>
      <c r="D980" s="386"/>
      <c r="E980" s="386"/>
      <c r="F980" s="387"/>
      <c r="G980" s="418" t="s">
        <v>6</v>
      </c>
      <c r="H980" s="419"/>
      <c r="I980" s="412">
        <v>779836</v>
      </c>
      <c r="J980" s="413"/>
      <c r="K980" s="413"/>
      <c r="L980" s="414"/>
      <c r="M980" s="5" t="s">
        <v>7</v>
      </c>
      <c r="N980" s="420">
        <v>0</v>
      </c>
      <c r="O980" s="421"/>
      <c r="P980" s="421"/>
      <c r="Q980" s="422"/>
      <c r="R980" s="423"/>
      <c r="S980" s="424"/>
      <c r="T980" s="424"/>
      <c r="U980" s="425"/>
    </row>
    <row r="981" spans="1:27" ht="15.75" thickBot="1">
      <c r="A981" s="4"/>
      <c r="B981" s="385" t="s">
        <v>10</v>
      </c>
      <c r="C981" s="386"/>
      <c r="D981" s="386"/>
      <c r="E981" s="386"/>
      <c r="F981" s="387"/>
      <c r="G981" s="460" t="s">
        <v>115</v>
      </c>
      <c r="H981" s="461"/>
      <c r="I981" s="461"/>
      <c r="J981" s="461"/>
      <c r="K981" s="461"/>
      <c r="L981" s="461"/>
      <c r="M981" s="461"/>
      <c r="N981" s="461"/>
      <c r="O981" s="461"/>
      <c r="P981" s="461"/>
      <c r="Q981" s="461"/>
      <c r="R981" s="461"/>
      <c r="S981" s="461"/>
      <c r="T981" s="461"/>
      <c r="U981" s="462"/>
    </row>
    <row r="982" spans="1:27" ht="15.75" customHeight="1" thickBot="1">
      <c r="A982" s="4"/>
      <c r="B982" s="391" t="s">
        <v>11</v>
      </c>
      <c r="C982" s="392"/>
      <c r="D982" s="392"/>
      <c r="E982" s="392"/>
      <c r="F982" s="393"/>
      <c r="G982" s="394" t="s">
        <v>118</v>
      </c>
      <c r="H982" s="395"/>
      <c r="I982" s="395"/>
      <c r="J982" s="395"/>
      <c r="K982" s="395"/>
      <c r="L982" s="395"/>
      <c r="M982" s="395"/>
      <c r="N982" s="395"/>
      <c r="O982" s="395"/>
      <c r="P982" s="395"/>
      <c r="Q982" s="395"/>
      <c r="R982" s="395"/>
      <c r="S982" s="395"/>
      <c r="T982" s="395"/>
      <c r="U982" s="396"/>
    </row>
    <row r="983" spans="1:27" ht="15.75" thickBot="1">
      <c r="B983" s="397"/>
      <c r="C983" s="397"/>
      <c r="D983" s="397"/>
      <c r="E983" s="397"/>
      <c r="F983" s="397"/>
      <c r="G983" s="397"/>
      <c r="H983" s="397"/>
      <c r="I983" s="397"/>
      <c r="J983" s="397"/>
      <c r="K983" s="397"/>
      <c r="L983" s="397"/>
      <c r="M983" s="397"/>
      <c r="N983" s="397"/>
      <c r="O983" s="397"/>
      <c r="P983" s="397"/>
      <c r="Q983" s="397"/>
      <c r="R983" s="397"/>
      <c r="S983" s="397"/>
      <c r="T983" s="397"/>
      <c r="U983" s="397"/>
    </row>
    <row r="984" spans="1:27" ht="16.5" thickBot="1">
      <c r="A984" s="4"/>
      <c r="B984" s="306" t="s">
        <v>12</v>
      </c>
      <c r="C984" s="307"/>
      <c r="D984" s="308"/>
      <c r="E984" s="307" t="s">
        <v>13</v>
      </c>
      <c r="F984" s="308"/>
      <c r="G984" s="312" t="s">
        <v>14</v>
      </c>
      <c r="H984" s="313"/>
      <c r="I984" s="313"/>
      <c r="J984" s="313"/>
      <c r="K984" s="313"/>
      <c r="L984" s="313"/>
      <c r="M984" s="313"/>
      <c r="N984" s="313"/>
      <c r="O984" s="313"/>
      <c r="P984" s="313"/>
      <c r="Q984" s="313"/>
      <c r="R984" s="313"/>
      <c r="S984" s="313"/>
      <c r="T984" s="313"/>
      <c r="U984" s="314"/>
    </row>
    <row r="985" spans="1:27" ht="15.75" thickBot="1">
      <c r="A985" s="4"/>
      <c r="B985" s="309"/>
      <c r="C985" s="310"/>
      <c r="D985" s="311"/>
      <c r="E985" s="310"/>
      <c r="F985" s="311"/>
      <c r="G985" s="315" t="s">
        <v>15</v>
      </c>
      <c r="H985" s="316"/>
      <c r="I985" s="267" t="s">
        <v>16</v>
      </c>
      <c r="J985" s="268"/>
      <c r="K985" s="268"/>
      <c r="L985" s="268"/>
      <c r="M985" s="268"/>
      <c r="N985" s="269"/>
      <c r="O985" s="403" t="s">
        <v>17</v>
      </c>
      <c r="P985" s="404"/>
      <c r="Q985" s="404"/>
      <c r="R985" s="404"/>
      <c r="S985" s="404"/>
      <c r="T985" s="404"/>
      <c r="U985" s="405"/>
    </row>
    <row r="986" spans="1:27">
      <c r="A986" s="4"/>
      <c r="B986" s="309"/>
      <c r="C986" s="310"/>
      <c r="D986" s="311"/>
      <c r="E986" s="310"/>
      <c r="F986" s="311"/>
      <c r="G986" s="317"/>
      <c r="H986" s="318"/>
      <c r="I986" s="315" t="s">
        <v>18</v>
      </c>
      <c r="J986" s="406"/>
      <c r="K986" s="406"/>
      <c r="L986" s="315" t="s">
        <v>19</v>
      </c>
      <c r="M986" s="406"/>
      <c r="N986" s="316"/>
      <c r="O986" s="408" t="s">
        <v>18</v>
      </c>
      <c r="P986" s="409"/>
      <c r="Q986" s="409"/>
      <c r="R986" s="315" t="s">
        <v>19</v>
      </c>
      <c r="S986" s="406"/>
      <c r="T986" s="406"/>
      <c r="U986" s="326" t="s">
        <v>20</v>
      </c>
      <c r="V986" s="200" t="s">
        <v>153</v>
      </c>
      <c r="W986" s="201"/>
      <c r="X986" s="200" t="s">
        <v>154</v>
      </c>
      <c r="Y986" s="201"/>
      <c r="Z986" s="200" t="s">
        <v>155</v>
      </c>
      <c r="AA986" s="201"/>
    </row>
    <row r="987" spans="1:27" ht="15.75" thickBot="1">
      <c r="A987" s="4"/>
      <c r="B987" s="398"/>
      <c r="C987" s="399"/>
      <c r="D987" s="400"/>
      <c r="E987" s="399"/>
      <c r="F987" s="400"/>
      <c r="G987" s="401"/>
      <c r="H987" s="402"/>
      <c r="I987" s="401"/>
      <c r="J987" s="407"/>
      <c r="K987" s="407"/>
      <c r="L987" s="401"/>
      <c r="M987" s="407"/>
      <c r="N987" s="402"/>
      <c r="O987" s="401"/>
      <c r="P987" s="407"/>
      <c r="Q987" s="407"/>
      <c r="R987" s="401"/>
      <c r="S987" s="407"/>
      <c r="T987" s="407"/>
      <c r="U987" s="327"/>
      <c r="V987" s="202"/>
      <c r="W987" s="203"/>
      <c r="X987" s="202"/>
      <c r="Y987" s="203"/>
      <c r="Z987" s="202"/>
      <c r="AA987" s="203"/>
    </row>
    <row r="988" spans="1:27">
      <c r="A988" s="4"/>
      <c r="B988" s="372" t="s">
        <v>59</v>
      </c>
      <c r="C988" s="373"/>
      <c r="D988" s="374"/>
      <c r="E988" s="375"/>
      <c r="F988" s="376"/>
      <c r="G988" s="377"/>
      <c r="H988" s="378"/>
      <c r="I988" s="379"/>
      <c r="J988" s="380"/>
      <c r="K988" s="378"/>
      <c r="L988" s="381"/>
      <c r="M988" s="380"/>
      <c r="N988" s="382"/>
      <c r="O988" s="383"/>
      <c r="P988" s="384"/>
      <c r="Q988" s="384"/>
      <c r="R988" s="384"/>
      <c r="S988" s="384"/>
      <c r="T988" s="384"/>
      <c r="U988" s="53"/>
    </row>
    <row r="989" spans="1:27">
      <c r="A989" s="159"/>
      <c r="B989" s="354" t="s">
        <v>76</v>
      </c>
      <c r="C989" s="362"/>
      <c r="D989" s="363"/>
      <c r="E989" s="364"/>
      <c r="F989" s="365"/>
      <c r="G989" s="366"/>
      <c r="H989" s="367"/>
      <c r="I989" s="371"/>
      <c r="J989" s="370"/>
      <c r="K989" s="370"/>
      <c r="L989" s="370"/>
      <c r="M989" s="370"/>
      <c r="N989" s="365"/>
      <c r="O989" s="371"/>
      <c r="P989" s="370"/>
      <c r="Q989" s="370"/>
      <c r="R989" s="370"/>
      <c r="S989" s="370"/>
      <c r="T989" s="370"/>
      <c r="U989" s="138"/>
    </row>
    <row r="990" spans="1:27">
      <c r="A990" s="4"/>
      <c r="B990" s="328" t="s">
        <v>56</v>
      </c>
      <c r="C990" s="329"/>
      <c r="D990" s="330"/>
      <c r="E990" s="331" t="s">
        <v>58</v>
      </c>
      <c r="F990" s="332"/>
      <c r="G990" s="348">
        <v>170</v>
      </c>
      <c r="H990" s="359"/>
      <c r="I990" s="350">
        <v>0</v>
      </c>
      <c r="J990" s="351"/>
      <c r="K990" s="349"/>
      <c r="L990" s="350">
        <v>0</v>
      </c>
      <c r="M990" s="351"/>
      <c r="N990" s="352"/>
      <c r="O990" s="353">
        <v>170</v>
      </c>
      <c r="P990" s="351"/>
      <c r="Q990" s="349"/>
      <c r="R990" s="350">
        <v>170</v>
      </c>
      <c r="S990" s="351"/>
      <c r="T990" s="349"/>
      <c r="U990" s="6">
        <f t="shared" ref="U990" si="269">R990/G990</f>
        <v>1</v>
      </c>
      <c r="V990" s="193">
        <f>+I990+O868</f>
        <v>170</v>
      </c>
      <c r="W990" s="193">
        <f>+O990-V990</f>
        <v>0</v>
      </c>
      <c r="X990" s="193">
        <f>+L990+R868</f>
        <v>170</v>
      </c>
      <c r="Y990" s="193">
        <f>+R990-X990</f>
        <v>0</v>
      </c>
      <c r="Z990" s="195">
        <f>+X990/G990</f>
        <v>1</v>
      </c>
      <c r="AA990" s="194">
        <f>+U990-Z990</f>
        <v>0</v>
      </c>
    </row>
    <row r="991" spans="1:27">
      <c r="A991" s="159"/>
      <c r="B991" s="328" t="s">
        <v>57</v>
      </c>
      <c r="C991" s="329"/>
      <c r="D991" s="330"/>
      <c r="E991" s="331" t="s">
        <v>58</v>
      </c>
      <c r="F991" s="332"/>
      <c r="G991" s="348">
        <v>4405</v>
      </c>
      <c r="H991" s="349"/>
      <c r="I991" s="350">
        <v>395</v>
      </c>
      <c r="J991" s="351"/>
      <c r="K991" s="349"/>
      <c r="L991" s="350">
        <v>395</v>
      </c>
      <c r="M991" s="351"/>
      <c r="N991" s="352"/>
      <c r="O991" s="353">
        <f>340+340+340+417+418+340+340+340+395</f>
        <v>3270</v>
      </c>
      <c r="P991" s="351"/>
      <c r="Q991" s="349"/>
      <c r="R991" s="350">
        <f>339+339+338+420+340+268+340+340+395</f>
        <v>3119</v>
      </c>
      <c r="S991" s="351"/>
      <c r="T991" s="349"/>
      <c r="U991" s="54">
        <f>R991/G991</f>
        <v>0.70805902383654939</v>
      </c>
      <c r="V991" s="193">
        <f>+I991+O869</f>
        <v>3270</v>
      </c>
      <c r="W991" s="193">
        <f>+O991-V991</f>
        <v>0</v>
      </c>
      <c r="X991" s="193">
        <f>+L991+R869</f>
        <v>3119</v>
      </c>
      <c r="Y991" s="193">
        <f>+R991-X991</f>
        <v>0</v>
      </c>
      <c r="Z991" s="195">
        <f>+X991/G991</f>
        <v>0.70805902383654939</v>
      </c>
      <c r="AA991" s="194">
        <f>+U991-Z991</f>
        <v>0</v>
      </c>
    </row>
    <row r="992" spans="1:27" ht="15" customHeight="1">
      <c r="A992" s="4"/>
      <c r="B992" s="354" t="s">
        <v>77</v>
      </c>
      <c r="C992" s="362"/>
      <c r="D992" s="363"/>
      <c r="E992" s="364"/>
      <c r="F992" s="365"/>
      <c r="G992" s="366"/>
      <c r="H992" s="367"/>
      <c r="I992" s="371"/>
      <c r="J992" s="370"/>
      <c r="K992" s="370"/>
      <c r="L992" s="370"/>
      <c r="M992" s="370"/>
      <c r="N992" s="365"/>
      <c r="O992" s="371"/>
      <c r="P992" s="370"/>
      <c r="Q992" s="370"/>
      <c r="R992" s="370"/>
      <c r="S992" s="370"/>
      <c r="T992" s="370"/>
      <c r="U992" s="138"/>
    </row>
    <row r="993" spans="1:27">
      <c r="A993" s="4"/>
      <c r="B993" s="328" t="s">
        <v>56</v>
      </c>
      <c r="C993" s="329"/>
      <c r="D993" s="330"/>
      <c r="E993" s="331" t="s">
        <v>58</v>
      </c>
      <c r="F993" s="332"/>
      <c r="G993" s="348">
        <v>35</v>
      </c>
      <c r="H993" s="359"/>
      <c r="I993" s="350">
        <v>0</v>
      </c>
      <c r="J993" s="351"/>
      <c r="K993" s="349"/>
      <c r="L993" s="350">
        <v>0</v>
      </c>
      <c r="M993" s="351"/>
      <c r="N993" s="352"/>
      <c r="O993" s="353">
        <v>35</v>
      </c>
      <c r="P993" s="351"/>
      <c r="Q993" s="349"/>
      <c r="R993" s="350">
        <v>35</v>
      </c>
      <c r="S993" s="351"/>
      <c r="T993" s="349"/>
      <c r="U993" s="6">
        <f t="shared" ref="U993" si="270">R993/G993</f>
        <v>1</v>
      </c>
      <c r="V993" s="193">
        <f t="shared" ref="V993:V994" si="271">+I993+O871</f>
        <v>35</v>
      </c>
      <c r="W993" s="193">
        <f t="shared" ref="W993:W994" si="272">+O993-V993</f>
        <v>0</v>
      </c>
      <c r="X993" s="193">
        <f t="shared" ref="X993:X994" si="273">+L993+R871</f>
        <v>35</v>
      </c>
      <c r="Y993" s="193">
        <f t="shared" ref="Y993:Y994" si="274">+R993-X993</f>
        <v>0</v>
      </c>
      <c r="Z993" s="195">
        <f t="shared" ref="Z993:Z994" si="275">+X993/G993</f>
        <v>1</v>
      </c>
      <c r="AA993" s="194">
        <f t="shared" ref="AA993:AA994" si="276">+U993-Z993</f>
        <v>0</v>
      </c>
    </row>
    <row r="994" spans="1:27">
      <c r="A994" s="159"/>
      <c r="B994" s="328" t="s">
        <v>57</v>
      </c>
      <c r="C994" s="329"/>
      <c r="D994" s="330"/>
      <c r="E994" s="331" t="s">
        <v>58</v>
      </c>
      <c r="F994" s="332"/>
      <c r="G994" s="348">
        <v>907</v>
      </c>
      <c r="H994" s="349"/>
      <c r="I994" s="360">
        <v>84</v>
      </c>
      <c r="J994" s="341"/>
      <c r="K994" s="361"/>
      <c r="L994" s="350">
        <v>84</v>
      </c>
      <c r="M994" s="351"/>
      <c r="N994" s="352"/>
      <c r="O994" s="353">
        <f>70+70+70+88+84+70+70+70+84</f>
        <v>676</v>
      </c>
      <c r="P994" s="351"/>
      <c r="Q994" s="349"/>
      <c r="R994" s="350">
        <f>70+70+70+88+69+55+70+70+84</f>
        <v>646</v>
      </c>
      <c r="S994" s="351"/>
      <c r="T994" s="349"/>
      <c r="U994" s="54">
        <f>R994/G994</f>
        <v>0.71223814773980154</v>
      </c>
      <c r="V994" s="193">
        <f t="shared" si="271"/>
        <v>676</v>
      </c>
      <c r="W994" s="193">
        <f t="shared" si="272"/>
        <v>0</v>
      </c>
      <c r="X994" s="193">
        <f t="shared" si="273"/>
        <v>646</v>
      </c>
      <c r="Y994" s="193">
        <f t="shared" si="274"/>
        <v>0</v>
      </c>
      <c r="Z994" s="195">
        <f t="shared" si="275"/>
        <v>0.71223814773980154</v>
      </c>
      <c r="AA994" s="194">
        <f t="shared" si="276"/>
        <v>0</v>
      </c>
    </row>
    <row r="995" spans="1:27" ht="15" customHeight="1">
      <c r="A995" s="4"/>
      <c r="B995" s="354" t="s">
        <v>78</v>
      </c>
      <c r="C995" s="362"/>
      <c r="D995" s="363"/>
      <c r="E995" s="364"/>
      <c r="F995" s="365"/>
      <c r="G995" s="366"/>
      <c r="H995" s="367"/>
      <c r="I995" s="368"/>
      <c r="J995" s="369"/>
      <c r="K995" s="369"/>
      <c r="L995" s="370"/>
      <c r="M995" s="370"/>
      <c r="N995" s="365"/>
      <c r="O995" s="371"/>
      <c r="P995" s="370"/>
      <c r="Q995" s="370"/>
      <c r="R995" s="370"/>
      <c r="S995" s="370"/>
      <c r="T995" s="370"/>
      <c r="U995" s="138"/>
    </row>
    <row r="996" spans="1:27">
      <c r="A996" s="4"/>
      <c r="B996" s="328" t="s">
        <v>56</v>
      </c>
      <c r="C996" s="329"/>
      <c r="D996" s="330"/>
      <c r="E996" s="331" t="s">
        <v>58</v>
      </c>
      <c r="F996" s="332"/>
      <c r="G996" s="348">
        <v>35</v>
      </c>
      <c r="H996" s="359"/>
      <c r="I996" s="360">
        <v>0</v>
      </c>
      <c r="J996" s="341"/>
      <c r="K996" s="361"/>
      <c r="L996" s="350">
        <v>0</v>
      </c>
      <c r="M996" s="351"/>
      <c r="N996" s="352"/>
      <c r="O996" s="353">
        <v>35</v>
      </c>
      <c r="P996" s="351"/>
      <c r="Q996" s="349"/>
      <c r="R996" s="350">
        <v>35</v>
      </c>
      <c r="S996" s="351"/>
      <c r="T996" s="349"/>
      <c r="U996" s="6">
        <f t="shared" ref="U996" si="277">R996/G996</f>
        <v>1</v>
      </c>
      <c r="V996" s="193">
        <f t="shared" ref="V996:V997" si="278">+I996+O874</f>
        <v>35</v>
      </c>
      <c r="W996" s="193">
        <f t="shared" ref="W996:W997" si="279">+O996-V996</f>
        <v>0</v>
      </c>
      <c r="X996" s="193">
        <f t="shared" ref="X996:X997" si="280">+L996+R874</f>
        <v>35</v>
      </c>
      <c r="Y996" s="193">
        <f t="shared" ref="Y996:Y997" si="281">+R996-X996</f>
        <v>0</v>
      </c>
      <c r="Z996" s="195">
        <f t="shared" ref="Z996:Z997" si="282">+X996/G996</f>
        <v>1</v>
      </c>
      <c r="AA996" s="194">
        <f t="shared" ref="AA996:AA997" si="283">+U996-Z996</f>
        <v>0</v>
      </c>
    </row>
    <row r="997" spans="1:27">
      <c r="A997" s="159"/>
      <c r="B997" s="328" t="s">
        <v>57</v>
      </c>
      <c r="C997" s="329"/>
      <c r="D997" s="330"/>
      <c r="E997" s="331" t="s">
        <v>58</v>
      </c>
      <c r="F997" s="332"/>
      <c r="G997" s="348">
        <v>907</v>
      </c>
      <c r="H997" s="349"/>
      <c r="I997" s="360">
        <v>85</v>
      </c>
      <c r="J997" s="341"/>
      <c r="K997" s="361"/>
      <c r="L997" s="350">
        <v>84</v>
      </c>
      <c r="M997" s="351"/>
      <c r="N997" s="352"/>
      <c r="O997" s="353">
        <f>70+70+70+88+84+70+70+70+85</f>
        <v>677</v>
      </c>
      <c r="P997" s="351"/>
      <c r="Q997" s="349"/>
      <c r="R997" s="350">
        <f>70+70+70+88+69+55+70+70+84</f>
        <v>646</v>
      </c>
      <c r="S997" s="351"/>
      <c r="T997" s="349"/>
      <c r="U997" s="54">
        <f>R997/G997</f>
        <v>0.71223814773980154</v>
      </c>
      <c r="V997" s="193">
        <f t="shared" si="278"/>
        <v>677</v>
      </c>
      <c r="W997" s="193">
        <f t="shared" si="279"/>
        <v>0</v>
      </c>
      <c r="X997" s="193">
        <f t="shared" si="280"/>
        <v>646</v>
      </c>
      <c r="Y997" s="193">
        <f t="shared" si="281"/>
        <v>0</v>
      </c>
      <c r="Z997" s="195">
        <f t="shared" si="282"/>
        <v>0.71223814773980154</v>
      </c>
      <c r="AA997" s="194">
        <f t="shared" si="283"/>
        <v>0</v>
      </c>
    </row>
    <row r="998" spans="1:27" ht="15" customHeight="1">
      <c r="A998" s="4"/>
      <c r="B998" s="354" t="s">
        <v>79</v>
      </c>
      <c r="C998" s="362"/>
      <c r="D998" s="363"/>
      <c r="E998" s="364"/>
      <c r="F998" s="365"/>
      <c r="G998" s="366"/>
      <c r="H998" s="367"/>
      <c r="I998" s="368"/>
      <c r="J998" s="369"/>
      <c r="K998" s="369"/>
      <c r="L998" s="370"/>
      <c r="M998" s="370"/>
      <c r="N998" s="365"/>
      <c r="O998" s="371"/>
      <c r="P998" s="370"/>
      <c r="Q998" s="370"/>
      <c r="R998" s="370"/>
      <c r="S998" s="370"/>
      <c r="T998" s="370"/>
      <c r="U998" s="138"/>
    </row>
    <row r="999" spans="1:27">
      <c r="A999" s="4"/>
      <c r="B999" s="328" t="s">
        <v>56</v>
      </c>
      <c r="C999" s="329"/>
      <c r="D999" s="330"/>
      <c r="E999" s="331" t="s">
        <v>58</v>
      </c>
      <c r="F999" s="332"/>
      <c r="G999" s="348">
        <v>96</v>
      </c>
      <c r="H999" s="359"/>
      <c r="I999" s="360">
        <v>0</v>
      </c>
      <c r="J999" s="341"/>
      <c r="K999" s="361"/>
      <c r="L999" s="350">
        <v>0</v>
      </c>
      <c r="M999" s="351"/>
      <c r="N999" s="352"/>
      <c r="O999" s="353">
        <v>96</v>
      </c>
      <c r="P999" s="351"/>
      <c r="Q999" s="349"/>
      <c r="R999" s="350">
        <v>96</v>
      </c>
      <c r="S999" s="351"/>
      <c r="T999" s="349"/>
      <c r="U999" s="54">
        <f t="shared" ref="U999" si="284">R999/G999</f>
        <v>1</v>
      </c>
      <c r="V999" s="193">
        <f t="shared" ref="V999:V1000" si="285">+I999+O877</f>
        <v>96</v>
      </c>
      <c r="W999" s="193">
        <f t="shared" ref="W999:W1000" si="286">+O999-V999</f>
        <v>0</v>
      </c>
      <c r="X999" s="193">
        <f t="shared" ref="X999:X1000" si="287">+L999+R877</f>
        <v>96</v>
      </c>
      <c r="Y999" s="193">
        <f t="shared" ref="Y999:Y1000" si="288">+R999-X999</f>
        <v>0</v>
      </c>
      <c r="Z999" s="195">
        <f t="shared" ref="Z999:Z1000" si="289">+X999/G999</f>
        <v>1</v>
      </c>
      <c r="AA999" s="194">
        <f t="shared" ref="AA999:AA1000" si="290">+U999-Z999</f>
        <v>0</v>
      </c>
    </row>
    <row r="1000" spans="1:27">
      <c r="A1000" s="159"/>
      <c r="B1000" s="328" t="s">
        <v>57</v>
      </c>
      <c r="C1000" s="329"/>
      <c r="D1000" s="330"/>
      <c r="E1000" s="331" t="s">
        <v>58</v>
      </c>
      <c r="F1000" s="332"/>
      <c r="G1000" s="348">
        <v>1440</v>
      </c>
      <c r="H1000" s="349"/>
      <c r="I1000" s="360">
        <v>207</v>
      </c>
      <c r="J1000" s="341"/>
      <c r="K1000" s="361"/>
      <c r="L1000" s="350">
        <v>207</v>
      </c>
      <c r="M1000" s="351"/>
      <c r="N1000" s="352"/>
      <c r="O1000" s="353">
        <f>126+258+192+192+192+207</f>
        <v>1167</v>
      </c>
      <c r="P1000" s="351"/>
      <c r="Q1000" s="349"/>
      <c r="R1000" s="350">
        <f>126+258+192+192+192+207</f>
        <v>1167</v>
      </c>
      <c r="S1000" s="351"/>
      <c r="T1000" s="349"/>
      <c r="U1000" s="54">
        <f>R1000/G1000</f>
        <v>0.81041666666666667</v>
      </c>
      <c r="V1000" s="193">
        <f t="shared" si="285"/>
        <v>1167</v>
      </c>
      <c r="W1000" s="193">
        <f t="shared" si="286"/>
        <v>0</v>
      </c>
      <c r="X1000" s="193">
        <f t="shared" si="287"/>
        <v>1167</v>
      </c>
      <c r="Y1000" s="193">
        <f t="shared" si="288"/>
        <v>0</v>
      </c>
      <c r="Z1000" s="195">
        <f t="shared" si="289"/>
        <v>0.81041666666666667</v>
      </c>
      <c r="AA1000" s="194">
        <f t="shared" si="290"/>
        <v>0</v>
      </c>
    </row>
    <row r="1001" spans="1:27">
      <c r="A1001" s="4"/>
      <c r="B1001" s="354" t="s">
        <v>63</v>
      </c>
      <c r="C1001" s="355"/>
      <c r="D1001" s="356"/>
      <c r="E1001" s="357"/>
      <c r="F1001" s="358"/>
      <c r="G1001" s="348"/>
      <c r="H1001" s="349"/>
      <c r="I1001" s="360"/>
      <c r="J1001" s="341"/>
      <c r="K1001" s="361"/>
      <c r="L1001" s="353"/>
      <c r="M1001" s="351"/>
      <c r="N1001" s="352"/>
      <c r="O1001" s="353"/>
      <c r="P1001" s="351"/>
      <c r="Q1001" s="351"/>
      <c r="R1001" s="351"/>
      <c r="S1001" s="351"/>
      <c r="T1001" s="351"/>
      <c r="U1001" s="6"/>
    </row>
    <row r="1002" spans="1:27">
      <c r="A1002" s="159"/>
      <c r="B1002" s="328" t="s">
        <v>60</v>
      </c>
      <c r="C1002" s="329"/>
      <c r="D1002" s="330"/>
      <c r="E1002" s="331" t="s">
        <v>58</v>
      </c>
      <c r="F1002" s="332"/>
      <c r="G1002" s="348">
        <v>12</v>
      </c>
      <c r="H1002" s="359"/>
      <c r="I1002" s="350">
        <v>2</v>
      </c>
      <c r="J1002" s="351"/>
      <c r="K1002" s="349"/>
      <c r="L1002" s="350">
        <v>2</v>
      </c>
      <c r="M1002" s="351"/>
      <c r="N1002" s="352"/>
      <c r="O1002" s="353">
        <f>2+2+2+2</f>
        <v>8</v>
      </c>
      <c r="P1002" s="351"/>
      <c r="Q1002" s="349"/>
      <c r="R1002" s="350">
        <f>2+2+2+2</f>
        <v>8</v>
      </c>
      <c r="S1002" s="351"/>
      <c r="T1002" s="349"/>
      <c r="U1002" s="54">
        <f>R1002/G1002</f>
        <v>0.66666666666666663</v>
      </c>
      <c r="V1002" s="193">
        <f>+I1002+O880</f>
        <v>8</v>
      </c>
      <c r="W1002" s="193">
        <f>+O1002-V1002</f>
        <v>0</v>
      </c>
      <c r="X1002" s="193">
        <f>+L1002+R880</f>
        <v>8</v>
      </c>
      <c r="Y1002" s="193">
        <f>+R1002-X1002</f>
        <v>0</v>
      </c>
      <c r="Z1002" s="195">
        <f>+X1002/G1002</f>
        <v>0.66666666666666663</v>
      </c>
      <c r="AA1002" s="194">
        <f>+U1002-Z1002</f>
        <v>0</v>
      </c>
    </row>
    <row r="1003" spans="1:27">
      <c r="A1003" s="4"/>
      <c r="B1003" s="354" t="s">
        <v>61</v>
      </c>
      <c r="C1003" s="355"/>
      <c r="D1003" s="356"/>
      <c r="E1003" s="357"/>
      <c r="F1003" s="358"/>
      <c r="G1003" s="348"/>
      <c r="H1003" s="349"/>
      <c r="I1003" s="350"/>
      <c r="J1003" s="351"/>
      <c r="K1003" s="349"/>
      <c r="L1003" s="353"/>
      <c r="M1003" s="351"/>
      <c r="N1003" s="352"/>
      <c r="O1003" s="353"/>
      <c r="P1003" s="351"/>
      <c r="Q1003" s="351"/>
      <c r="R1003" s="351"/>
      <c r="S1003" s="351"/>
      <c r="T1003" s="351"/>
      <c r="U1003" s="6"/>
    </row>
    <row r="1004" spans="1:27" ht="15" customHeight="1">
      <c r="A1004" s="159"/>
      <c r="B1004" s="328" t="s">
        <v>61</v>
      </c>
      <c r="C1004" s="329"/>
      <c r="D1004" s="330"/>
      <c r="E1004" s="331" t="s">
        <v>58</v>
      </c>
      <c r="F1004" s="332"/>
      <c r="G1004" s="348">
        <v>15</v>
      </c>
      <c r="H1004" s="349"/>
      <c r="I1004" s="350">
        <v>0</v>
      </c>
      <c r="J1004" s="351"/>
      <c r="K1004" s="349"/>
      <c r="L1004" s="350">
        <v>5</v>
      </c>
      <c r="M1004" s="351"/>
      <c r="N1004" s="352"/>
      <c r="O1004" s="353">
        <f>5+5+0+0</f>
        <v>10</v>
      </c>
      <c r="P1004" s="351"/>
      <c r="Q1004" s="349"/>
      <c r="R1004" s="350">
        <f>0+5+0+5</f>
        <v>10</v>
      </c>
      <c r="S1004" s="351"/>
      <c r="T1004" s="349"/>
      <c r="U1004" s="54">
        <f>R1004/G1004</f>
        <v>0.66666666666666663</v>
      </c>
      <c r="V1004" s="193">
        <f>+I1004+O882</f>
        <v>10</v>
      </c>
      <c r="W1004" s="193">
        <f>+O1004-V1004</f>
        <v>0</v>
      </c>
      <c r="X1004" s="193">
        <f>+L1004+R882</f>
        <v>10</v>
      </c>
      <c r="Y1004" s="193">
        <f>+R1004-X1004</f>
        <v>0</v>
      </c>
      <c r="Z1004" s="195">
        <f>+X1004/G1004</f>
        <v>0.66666666666666663</v>
      </c>
      <c r="AA1004" s="194">
        <f>+U1004-Z1004</f>
        <v>0</v>
      </c>
    </row>
    <row r="1005" spans="1:27" ht="15" customHeight="1">
      <c r="A1005" s="4"/>
      <c r="B1005" s="354" t="s">
        <v>62</v>
      </c>
      <c r="C1005" s="355"/>
      <c r="D1005" s="356"/>
      <c r="E1005" s="357"/>
      <c r="F1005" s="358"/>
      <c r="G1005" s="348"/>
      <c r="H1005" s="349"/>
      <c r="I1005" s="350"/>
      <c r="J1005" s="351"/>
      <c r="K1005" s="349"/>
      <c r="L1005" s="353"/>
      <c r="M1005" s="351"/>
      <c r="N1005" s="352"/>
      <c r="O1005" s="353"/>
      <c r="P1005" s="351"/>
      <c r="Q1005" s="351"/>
      <c r="R1005" s="351"/>
      <c r="S1005" s="351"/>
      <c r="T1005" s="351"/>
      <c r="U1005" s="6"/>
    </row>
    <row r="1006" spans="1:27" ht="15" customHeight="1" thickBot="1">
      <c r="A1006" s="159"/>
      <c r="B1006" s="328" t="s">
        <v>62</v>
      </c>
      <c r="C1006" s="329"/>
      <c r="D1006" s="330"/>
      <c r="E1006" s="331" t="s">
        <v>58</v>
      </c>
      <c r="F1006" s="332"/>
      <c r="G1006" s="333">
        <v>1</v>
      </c>
      <c r="H1006" s="334"/>
      <c r="I1006" s="335">
        <v>0</v>
      </c>
      <c r="J1006" s="336"/>
      <c r="K1006" s="334"/>
      <c r="L1006" s="458">
        <v>0</v>
      </c>
      <c r="M1006" s="336"/>
      <c r="N1006" s="459"/>
      <c r="O1006" s="353">
        <v>0</v>
      </c>
      <c r="P1006" s="351"/>
      <c r="Q1006" s="351"/>
      <c r="R1006" s="351">
        <v>0</v>
      </c>
      <c r="S1006" s="351"/>
      <c r="T1006" s="351"/>
      <c r="U1006" s="54">
        <f>R1006/G1006</f>
        <v>0</v>
      </c>
      <c r="V1006" s="193">
        <f>+I1006+O884</f>
        <v>0</v>
      </c>
      <c r="W1006" s="193">
        <f>+O1006-V1006</f>
        <v>0</v>
      </c>
      <c r="X1006" s="193">
        <f>+L1006+R884</f>
        <v>0</v>
      </c>
      <c r="Y1006" s="193">
        <f>+R1006-X1006</f>
        <v>0</v>
      </c>
      <c r="Z1006" s="195">
        <f>+X1006/G1006</f>
        <v>0</v>
      </c>
      <c r="AA1006" s="194">
        <f>+U1006-Z1006</f>
        <v>0</v>
      </c>
    </row>
    <row r="1007" spans="1:27" ht="15.75" thickBot="1">
      <c r="A1007" s="4"/>
      <c r="B1007" s="342" t="s">
        <v>21</v>
      </c>
      <c r="C1007" s="343"/>
      <c r="D1007" s="343"/>
      <c r="E1007" s="343"/>
      <c r="F1007" s="344"/>
      <c r="G1007" s="345"/>
      <c r="H1007" s="346"/>
      <c r="I1007" s="346"/>
      <c r="J1007" s="346"/>
      <c r="K1007" s="346"/>
      <c r="L1007" s="346"/>
      <c r="M1007" s="346"/>
      <c r="N1007" s="347"/>
      <c r="O1007" s="345"/>
      <c r="P1007" s="346"/>
      <c r="Q1007" s="346"/>
      <c r="R1007" s="346"/>
      <c r="S1007" s="346"/>
      <c r="T1007" s="346"/>
      <c r="U1007" s="347"/>
    </row>
    <row r="1008" spans="1:27" ht="15.75" thickBot="1">
      <c r="B1008" s="7"/>
      <c r="C1008" s="8"/>
      <c r="D1008" s="9"/>
      <c r="E1008" s="10"/>
      <c r="F1008" s="11"/>
      <c r="G1008" s="12"/>
      <c r="H1008" s="13"/>
      <c r="I1008" s="14"/>
      <c r="J1008" s="14"/>
      <c r="K1008" s="15"/>
      <c r="L1008" s="14"/>
      <c r="M1008" s="15"/>
      <c r="N1008" s="14"/>
      <c r="O1008" s="14"/>
      <c r="P1008" s="14"/>
      <c r="Q1008" s="14"/>
      <c r="R1008" s="15"/>
      <c r="S1008" s="14"/>
      <c r="T1008" s="12"/>
      <c r="U1008" s="14"/>
    </row>
    <row r="1009" spans="1:27" ht="16.5" customHeight="1" thickBot="1">
      <c r="A1009" s="4"/>
      <c r="B1009" s="306" t="s">
        <v>22</v>
      </c>
      <c r="C1009" s="307"/>
      <c r="D1009" s="307"/>
      <c r="E1009" s="307"/>
      <c r="F1009" s="308"/>
      <c r="G1009" s="312" t="s">
        <v>129</v>
      </c>
      <c r="H1009" s="313"/>
      <c r="I1009" s="313"/>
      <c r="J1009" s="313"/>
      <c r="K1009" s="313"/>
      <c r="L1009" s="313"/>
      <c r="M1009" s="313"/>
      <c r="N1009" s="313"/>
      <c r="O1009" s="313"/>
      <c r="P1009" s="313"/>
      <c r="Q1009" s="313"/>
      <c r="R1009" s="313"/>
      <c r="S1009" s="313"/>
      <c r="T1009" s="313"/>
      <c r="U1009" s="314"/>
    </row>
    <row r="1010" spans="1:27" ht="15.75" thickBot="1">
      <c r="A1010" s="4"/>
      <c r="B1010" s="309"/>
      <c r="C1010" s="310"/>
      <c r="D1010" s="310"/>
      <c r="E1010" s="310"/>
      <c r="F1010" s="311"/>
      <c r="G1010" s="315" t="s">
        <v>24</v>
      </c>
      <c r="H1010" s="316"/>
      <c r="I1010" s="310" t="s">
        <v>16</v>
      </c>
      <c r="J1010" s="310"/>
      <c r="K1010" s="310"/>
      <c r="L1010" s="310"/>
      <c r="M1010" s="310"/>
      <c r="N1010" s="311"/>
      <c r="O1010" s="321" t="s">
        <v>17</v>
      </c>
      <c r="P1010" s="322"/>
      <c r="Q1010" s="322"/>
      <c r="R1010" s="322"/>
      <c r="S1010" s="322"/>
      <c r="T1010" s="322"/>
      <c r="U1010" s="323"/>
    </row>
    <row r="1011" spans="1:27" ht="15.75" customHeight="1" thickBot="1">
      <c r="A1011" s="4"/>
      <c r="B1011" s="309"/>
      <c r="C1011" s="310"/>
      <c r="D1011" s="310"/>
      <c r="E1011" s="310"/>
      <c r="F1011" s="311"/>
      <c r="G1011" s="317"/>
      <c r="H1011" s="318"/>
      <c r="I1011" s="267" t="s">
        <v>18</v>
      </c>
      <c r="J1011" s="268"/>
      <c r="K1011" s="269"/>
      <c r="L1011" s="267" t="s">
        <v>25</v>
      </c>
      <c r="M1011" s="268"/>
      <c r="N1011" s="269"/>
      <c r="O1011" s="267" t="s">
        <v>18</v>
      </c>
      <c r="P1011" s="268"/>
      <c r="Q1011" s="324"/>
      <c r="R1011" s="325" t="s">
        <v>25</v>
      </c>
      <c r="S1011" s="268"/>
      <c r="T1011" s="269"/>
      <c r="U1011" s="326" t="s">
        <v>20</v>
      </c>
      <c r="V1011" s="200" t="s">
        <v>153</v>
      </c>
      <c r="W1011" s="201"/>
      <c r="X1011" s="200" t="s">
        <v>154</v>
      </c>
      <c r="Y1011" s="201"/>
      <c r="Z1011" s="200" t="s">
        <v>155</v>
      </c>
      <c r="AA1011" s="201"/>
    </row>
    <row r="1012" spans="1:27" ht="25.5" customHeight="1" thickBot="1">
      <c r="A1012" s="4"/>
      <c r="B1012" s="309"/>
      <c r="C1012" s="310"/>
      <c r="D1012" s="310"/>
      <c r="E1012" s="310"/>
      <c r="F1012" s="311"/>
      <c r="G1012" s="319"/>
      <c r="H1012" s="320"/>
      <c r="I1012" s="135" t="s">
        <v>26</v>
      </c>
      <c r="J1012" s="137" t="s">
        <v>27</v>
      </c>
      <c r="K1012" s="137" t="s">
        <v>28</v>
      </c>
      <c r="L1012" s="135" t="s">
        <v>26</v>
      </c>
      <c r="M1012" s="137" t="s">
        <v>27</v>
      </c>
      <c r="N1012" s="136" t="s">
        <v>28</v>
      </c>
      <c r="O1012" s="19" t="s">
        <v>26</v>
      </c>
      <c r="P1012" s="135" t="s">
        <v>27</v>
      </c>
      <c r="Q1012" s="20" t="s">
        <v>28</v>
      </c>
      <c r="R1012" s="21" t="s">
        <v>26</v>
      </c>
      <c r="S1012" s="134" t="s">
        <v>27</v>
      </c>
      <c r="T1012" s="137" t="s">
        <v>28</v>
      </c>
      <c r="U1012" s="327"/>
      <c r="V1012" s="202"/>
      <c r="W1012" s="203"/>
      <c r="X1012" s="202"/>
      <c r="Y1012" s="203"/>
      <c r="Z1012" s="202"/>
      <c r="AA1012" s="203"/>
    </row>
    <row r="1013" spans="1:27" ht="15.75" thickBot="1">
      <c r="A1013" s="4"/>
      <c r="B1013" s="302" t="s">
        <v>29</v>
      </c>
      <c r="C1013" s="303"/>
      <c r="D1013" s="303"/>
      <c r="E1013" s="303"/>
      <c r="F1013" s="303"/>
      <c r="G1013" s="303"/>
      <c r="H1013" s="303"/>
      <c r="I1013" s="303"/>
      <c r="J1013" s="303"/>
      <c r="K1013" s="303"/>
      <c r="L1013" s="303"/>
      <c r="M1013" s="303"/>
      <c r="N1013" s="303"/>
      <c r="O1013" s="303"/>
      <c r="P1013" s="303"/>
      <c r="Q1013" s="303"/>
      <c r="R1013" s="303"/>
      <c r="S1013" s="303"/>
      <c r="T1013" s="303"/>
      <c r="U1013" s="304"/>
    </row>
    <row r="1014" spans="1:27" s="40" customFormat="1" ht="15.75" customHeight="1">
      <c r="A1014" s="152"/>
      <c r="B1014" s="287" t="s">
        <v>82</v>
      </c>
      <c r="C1014" s="288"/>
      <c r="D1014" s="288"/>
      <c r="E1014" s="288"/>
      <c r="F1014" s="289"/>
      <c r="G1014" s="290">
        <v>1908</v>
      </c>
      <c r="H1014" s="305"/>
      <c r="I1014" s="158">
        <v>0</v>
      </c>
      <c r="J1014" s="141">
        <v>0</v>
      </c>
      <c r="K1014" s="141">
        <v>0</v>
      </c>
      <c r="L1014" s="141">
        <v>0</v>
      </c>
      <c r="M1014" s="141">
        <v>0</v>
      </c>
      <c r="N1014" s="141">
        <v>0</v>
      </c>
      <c r="O1014" s="141">
        <v>1908</v>
      </c>
      <c r="P1014" s="141">
        <v>0</v>
      </c>
      <c r="Q1014" s="154">
        <v>0</v>
      </c>
      <c r="R1014" s="141">
        <v>0</v>
      </c>
      <c r="S1014" s="141">
        <v>0</v>
      </c>
      <c r="T1014" s="154">
        <v>0</v>
      </c>
      <c r="U1014" s="155">
        <f>R1014/G1014</f>
        <v>0</v>
      </c>
      <c r="V1014" s="128">
        <f>+I1014+O892</f>
        <v>1908</v>
      </c>
      <c r="W1014" s="128">
        <f>+O1014-V1014</f>
        <v>0</v>
      </c>
      <c r="X1014" s="128">
        <f>+L1014+R892</f>
        <v>0</v>
      </c>
      <c r="Y1014" s="128">
        <f>+R1014-X1014</f>
        <v>0</v>
      </c>
      <c r="Z1014" s="195">
        <f>+X1014/G1014</f>
        <v>0</v>
      </c>
      <c r="AA1014" s="194">
        <f>+U1014-Z1014</f>
        <v>0</v>
      </c>
    </row>
    <row r="1015" spans="1:27" s="40" customFormat="1">
      <c r="A1015" s="152"/>
      <c r="B1015" s="274" t="s">
        <v>83</v>
      </c>
      <c r="C1015" s="275"/>
      <c r="D1015" s="275"/>
      <c r="E1015" s="275"/>
      <c r="F1015" s="276"/>
      <c r="G1015" s="277">
        <v>9000</v>
      </c>
      <c r="H1015" s="292"/>
      <c r="I1015" s="142">
        <v>0</v>
      </c>
      <c r="J1015" s="117">
        <v>0</v>
      </c>
      <c r="K1015" s="117">
        <v>0</v>
      </c>
      <c r="L1015" s="117">
        <v>0</v>
      </c>
      <c r="M1015" s="117">
        <v>0</v>
      </c>
      <c r="N1015" s="117">
        <v>0</v>
      </c>
      <c r="O1015" s="117">
        <f>3000+3000</f>
        <v>6000</v>
      </c>
      <c r="P1015" s="117">
        <v>0</v>
      </c>
      <c r="Q1015" s="117">
        <v>0</v>
      </c>
      <c r="R1015" s="117">
        <f>0+4242.4</f>
        <v>4242.3999999999996</v>
      </c>
      <c r="S1015" s="117">
        <v>0</v>
      </c>
      <c r="T1015" s="117">
        <v>0</v>
      </c>
      <c r="U1015" s="153">
        <f>R1015/G1015</f>
        <v>0.47137777777777773</v>
      </c>
      <c r="V1015" s="128">
        <f t="shared" ref="V1015:V1034" si="291">+I1015+O893</f>
        <v>6000</v>
      </c>
      <c r="W1015" s="128">
        <f t="shared" ref="W1015:W1034" si="292">+O1015-V1015</f>
        <v>0</v>
      </c>
      <c r="X1015" s="128">
        <f t="shared" ref="X1015:X1034" si="293">+L1015+R893</f>
        <v>4242.3999999999996</v>
      </c>
      <c r="Y1015" s="128">
        <f t="shared" ref="Y1015:Y1034" si="294">+R1015-X1015</f>
        <v>0</v>
      </c>
      <c r="Z1015" s="195">
        <f t="shared" ref="Z1015:Z1034" si="295">+X1015/G1015</f>
        <v>0.47137777777777773</v>
      </c>
      <c r="AA1015" s="194">
        <f t="shared" ref="AA1015:AA1034" si="296">+U1015-Z1015</f>
        <v>0</v>
      </c>
    </row>
    <row r="1016" spans="1:27" s="40" customFormat="1">
      <c r="A1016" s="166"/>
      <c r="B1016" s="274" t="s">
        <v>84</v>
      </c>
      <c r="C1016" s="275"/>
      <c r="D1016" s="275"/>
      <c r="E1016" s="275"/>
      <c r="F1016" s="276"/>
      <c r="G1016" s="277">
        <v>15000</v>
      </c>
      <c r="H1016" s="292"/>
      <c r="I1016" s="142">
        <v>0</v>
      </c>
      <c r="J1016" s="117">
        <v>0</v>
      </c>
      <c r="K1016" s="117">
        <v>0</v>
      </c>
      <c r="L1016" s="117">
        <v>0</v>
      </c>
      <c r="M1016" s="117">
        <v>0</v>
      </c>
      <c r="N1016" s="117">
        <v>0</v>
      </c>
      <c r="O1016" s="117">
        <v>15000</v>
      </c>
      <c r="P1016" s="117">
        <v>0</v>
      </c>
      <c r="Q1016" s="117">
        <v>0</v>
      </c>
      <c r="R1016" s="117">
        <v>0</v>
      </c>
      <c r="S1016" s="117">
        <v>0</v>
      </c>
      <c r="T1016" s="117">
        <v>0</v>
      </c>
      <c r="U1016" s="153">
        <f>R1016/G1016</f>
        <v>0</v>
      </c>
      <c r="V1016" s="128">
        <f t="shared" si="291"/>
        <v>15000</v>
      </c>
      <c r="W1016" s="128">
        <f t="shared" si="292"/>
        <v>0</v>
      </c>
      <c r="X1016" s="128">
        <f t="shared" si="293"/>
        <v>0</v>
      </c>
      <c r="Y1016" s="128">
        <f t="shared" si="294"/>
        <v>0</v>
      </c>
      <c r="Z1016" s="195">
        <f t="shared" si="295"/>
        <v>0</v>
      </c>
      <c r="AA1016" s="194">
        <f t="shared" si="296"/>
        <v>0</v>
      </c>
    </row>
    <row r="1017" spans="1:27" s="40" customFormat="1">
      <c r="A1017" s="152"/>
      <c r="B1017" s="274" t="s">
        <v>85</v>
      </c>
      <c r="C1017" s="275"/>
      <c r="D1017" s="275"/>
      <c r="E1017" s="275"/>
      <c r="F1017" s="276"/>
      <c r="G1017" s="277">
        <v>2000</v>
      </c>
      <c r="H1017" s="292"/>
      <c r="I1017" s="142">
        <v>0</v>
      </c>
      <c r="J1017" s="117">
        <v>0</v>
      </c>
      <c r="K1017" s="117">
        <v>0</v>
      </c>
      <c r="L1017" s="117">
        <v>2000</v>
      </c>
      <c r="M1017" s="117">
        <v>0</v>
      </c>
      <c r="N1017" s="117">
        <v>0</v>
      </c>
      <c r="O1017" s="117">
        <v>2000</v>
      </c>
      <c r="P1017" s="117">
        <v>0</v>
      </c>
      <c r="Q1017" s="117">
        <v>0</v>
      </c>
      <c r="R1017" s="117">
        <v>2000</v>
      </c>
      <c r="S1017" s="117">
        <v>0</v>
      </c>
      <c r="T1017" s="117">
        <v>0</v>
      </c>
      <c r="U1017" s="153">
        <f>R1017/G1017</f>
        <v>1</v>
      </c>
      <c r="V1017" s="128">
        <f t="shared" si="291"/>
        <v>2000</v>
      </c>
      <c r="W1017" s="128">
        <f t="shared" si="292"/>
        <v>0</v>
      </c>
      <c r="X1017" s="128">
        <f t="shared" si="293"/>
        <v>2000</v>
      </c>
      <c r="Y1017" s="128">
        <f t="shared" si="294"/>
        <v>0</v>
      </c>
      <c r="Z1017" s="195">
        <f t="shared" si="295"/>
        <v>1</v>
      </c>
      <c r="AA1017" s="194">
        <f t="shared" si="296"/>
        <v>0</v>
      </c>
    </row>
    <row r="1018" spans="1:27" s="40" customFormat="1">
      <c r="A1018" s="152"/>
      <c r="B1018" s="274" t="s">
        <v>119</v>
      </c>
      <c r="C1018" s="275"/>
      <c r="D1018" s="275"/>
      <c r="E1018" s="275"/>
      <c r="F1018" s="276"/>
      <c r="G1018" s="277">
        <v>198000</v>
      </c>
      <c r="H1018" s="292"/>
      <c r="I1018" s="142">
        <v>16500</v>
      </c>
      <c r="J1018" s="117">
        <v>0</v>
      </c>
      <c r="K1018" s="117">
        <v>0</v>
      </c>
      <c r="L1018" s="117">
        <v>53800.17</v>
      </c>
      <c r="M1018" s="117">
        <v>0</v>
      </c>
      <c r="N1018" s="117">
        <v>0</v>
      </c>
      <c r="O1018" s="117">
        <f>16500+16500+16500+16500+16500+16500+16500+16500+16500</f>
        <v>148500</v>
      </c>
      <c r="P1018" s="117">
        <v>0</v>
      </c>
      <c r="Q1018" s="117">
        <v>0</v>
      </c>
      <c r="R1018" s="117">
        <f>0+0+0+5000+2500+5000+64350.4+20000+53800.17</f>
        <v>150650.57</v>
      </c>
      <c r="S1018" s="117">
        <v>0</v>
      </c>
      <c r="T1018" s="117">
        <v>0</v>
      </c>
      <c r="U1018" s="153">
        <f>R1018/G1018</f>
        <v>0.76086146464646465</v>
      </c>
      <c r="V1018" s="128">
        <f t="shared" si="291"/>
        <v>148500</v>
      </c>
      <c r="W1018" s="128">
        <f t="shared" si="292"/>
        <v>0</v>
      </c>
      <c r="X1018" s="128">
        <f t="shared" si="293"/>
        <v>150650.57</v>
      </c>
      <c r="Y1018" s="128">
        <f t="shared" si="294"/>
        <v>0</v>
      </c>
      <c r="Z1018" s="195">
        <f t="shared" si="295"/>
        <v>0.76086146464646465</v>
      </c>
      <c r="AA1018" s="194">
        <f t="shared" si="296"/>
        <v>0</v>
      </c>
    </row>
    <row r="1019" spans="1:27" s="40" customFormat="1">
      <c r="A1019" s="152"/>
      <c r="B1019" s="274" t="s">
        <v>130</v>
      </c>
      <c r="C1019" s="275"/>
      <c r="D1019" s="275"/>
      <c r="E1019" s="275"/>
      <c r="F1019" s="276"/>
      <c r="G1019" s="277">
        <v>13000</v>
      </c>
      <c r="H1019" s="292"/>
      <c r="I1019" s="142">
        <v>0</v>
      </c>
      <c r="J1019" s="117">
        <v>0</v>
      </c>
      <c r="K1019" s="117">
        <v>0</v>
      </c>
      <c r="L1019" s="117">
        <v>0</v>
      </c>
      <c r="M1019" s="117">
        <v>0</v>
      </c>
      <c r="N1019" s="117">
        <v>0</v>
      </c>
      <c r="O1019" s="117">
        <v>0</v>
      </c>
      <c r="P1019" s="117">
        <v>0</v>
      </c>
      <c r="Q1019" s="117">
        <v>0</v>
      </c>
      <c r="R1019" s="117">
        <v>0</v>
      </c>
      <c r="S1019" s="117">
        <v>0</v>
      </c>
      <c r="T1019" s="117">
        <v>0</v>
      </c>
      <c r="U1019" s="153">
        <f t="shared" ref="U1019:U1028" si="297">R1019/G1019</f>
        <v>0</v>
      </c>
      <c r="V1019" s="128">
        <f t="shared" si="291"/>
        <v>0</v>
      </c>
      <c r="W1019" s="128">
        <f t="shared" si="292"/>
        <v>0</v>
      </c>
      <c r="X1019" s="128">
        <f t="shared" si="293"/>
        <v>0</v>
      </c>
      <c r="Y1019" s="128">
        <f t="shared" si="294"/>
        <v>0</v>
      </c>
      <c r="Z1019" s="195">
        <f t="shared" si="295"/>
        <v>0</v>
      </c>
      <c r="AA1019" s="194">
        <f t="shared" si="296"/>
        <v>0</v>
      </c>
    </row>
    <row r="1020" spans="1:27" s="40" customFormat="1">
      <c r="A1020" s="152"/>
      <c r="B1020" s="274" t="s">
        <v>86</v>
      </c>
      <c r="C1020" s="275"/>
      <c r="D1020" s="275"/>
      <c r="E1020" s="275"/>
      <c r="F1020" s="276"/>
      <c r="G1020" s="277">
        <v>30000</v>
      </c>
      <c r="H1020" s="292"/>
      <c r="I1020" s="142">
        <v>0</v>
      </c>
      <c r="J1020" s="117">
        <v>0</v>
      </c>
      <c r="K1020" s="117">
        <v>0</v>
      </c>
      <c r="L1020" s="117">
        <v>0</v>
      </c>
      <c r="M1020" s="117">
        <v>0</v>
      </c>
      <c r="N1020" s="117">
        <v>0</v>
      </c>
      <c r="O1020" s="117">
        <f>30000</f>
        <v>30000</v>
      </c>
      <c r="P1020" s="117">
        <v>0</v>
      </c>
      <c r="Q1020" s="117">
        <v>0</v>
      </c>
      <c r="R1020" s="117">
        <f>0+0+0+0</f>
        <v>0</v>
      </c>
      <c r="S1020" s="117">
        <v>0</v>
      </c>
      <c r="T1020" s="117">
        <v>0</v>
      </c>
      <c r="U1020" s="153">
        <f t="shared" si="297"/>
        <v>0</v>
      </c>
      <c r="V1020" s="128">
        <f t="shared" si="291"/>
        <v>30000</v>
      </c>
      <c r="W1020" s="128">
        <f t="shared" si="292"/>
        <v>0</v>
      </c>
      <c r="X1020" s="128">
        <f t="shared" si="293"/>
        <v>0</v>
      </c>
      <c r="Y1020" s="128">
        <f t="shared" si="294"/>
        <v>0</v>
      </c>
      <c r="Z1020" s="195">
        <f t="shared" si="295"/>
        <v>0</v>
      </c>
      <c r="AA1020" s="194">
        <f t="shared" si="296"/>
        <v>0</v>
      </c>
    </row>
    <row r="1021" spans="1:27" s="40" customFormat="1">
      <c r="A1021" s="152"/>
      <c r="B1021" s="274" t="s">
        <v>88</v>
      </c>
      <c r="C1021" s="275"/>
      <c r="D1021" s="275"/>
      <c r="E1021" s="275"/>
      <c r="F1021" s="276"/>
      <c r="G1021" s="277">
        <v>5800</v>
      </c>
      <c r="H1021" s="292"/>
      <c r="I1021" s="142">
        <v>0</v>
      </c>
      <c r="J1021" s="117">
        <v>0</v>
      </c>
      <c r="K1021" s="117">
        <v>0</v>
      </c>
      <c r="L1021" s="117">
        <v>0</v>
      </c>
      <c r="M1021" s="117">
        <v>0</v>
      </c>
      <c r="N1021" s="117">
        <v>0</v>
      </c>
      <c r="O1021" s="117">
        <f>2900+2900</f>
        <v>5800</v>
      </c>
      <c r="P1021" s="117">
        <v>0</v>
      </c>
      <c r="Q1021" s="117">
        <v>0</v>
      </c>
      <c r="R1021" s="117">
        <v>5800</v>
      </c>
      <c r="S1021" s="117">
        <v>0</v>
      </c>
      <c r="T1021" s="117">
        <v>0</v>
      </c>
      <c r="U1021" s="153">
        <f t="shared" si="297"/>
        <v>1</v>
      </c>
      <c r="V1021" s="128">
        <f t="shared" si="291"/>
        <v>5800</v>
      </c>
      <c r="W1021" s="128">
        <f t="shared" si="292"/>
        <v>0</v>
      </c>
      <c r="X1021" s="128">
        <f t="shared" si="293"/>
        <v>5800</v>
      </c>
      <c r="Y1021" s="128">
        <f t="shared" si="294"/>
        <v>0</v>
      </c>
      <c r="Z1021" s="195">
        <f t="shared" si="295"/>
        <v>1</v>
      </c>
      <c r="AA1021" s="194">
        <f t="shared" si="296"/>
        <v>0</v>
      </c>
    </row>
    <row r="1022" spans="1:27" s="40" customFormat="1">
      <c r="A1022" s="152"/>
      <c r="B1022" s="274" t="s">
        <v>131</v>
      </c>
      <c r="C1022" s="275"/>
      <c r="D1022" s="275"/>
      <c r="E1022" s="275"/>
      <c r="F1022" s="276"/>
      <c r="G1022" s="277">
        <v>40000</v>
      </c>
      <c r="H1022" s="292"/>
      <c r="I1022" s="142">
        <v>8000</v>
      </c>
      <c r="J1022" s="117">
        <v>0</v>
      </c>
      <c r="K1022" s="117">
        <v>0</v>
      </c>
      <c r="L1022" s="117">
        <v>6754.68</v>
      </c>
      <c r="M1022" s="117">
        <v>0</v>
      </c>
      <c r="N1022" s="117">
        <v>0</v>
      </c>
      <c r="O1022" s="117">
        <f>8000+8000+8000</f>
        <v>24000</v>
      </c>
      <c r="P1022" s="117">
        <v>0</v>
      </c>
      <c r="Q1022" s="117">
        <v>0</v>
      </c>
      <c r="R1022" s="117">
        <f>0+0+0+0+0+0+4176+5684+6754.68</f>
        <v>16614.68</v>
      </c>
      <c r="S1022" s="117">
        <v>0</v>
      </c>
      <c r="T1022" s="117">
        <v>0</v>
      </c>
      <c r="U1022" s="153">
        <f t="shared" si="297"/>
        <v>0.41536699999999999</v>
      </c>
      <c r="V1022" s="128">
        <f t="shared" si="291"/>
        <v>24000</v>
      </c>
      <c r="W1022" s="128">
        <f t="shared" si="292"/>
        <v>0</v>
      </c>
      <c r="X1022" s="128">
        <f t="shared" si="293"/>
        <v>16614.68</v>
      </c>
      <c r="Y1022" s="128">
        <f t="shared" si="294"/>
        <v>0</v>
      </c>
      <c r="Z1022" s="195">
        <f t="shared" si="295"/>
        <v>0.41536699999999999</v>
      </c>
      <c r="AA1022" s="194">
        <f t="shared" si="296"/>
        <v>0</v>
      </c>
    </row>
    <row r="1023" spans="1:27" s="40" customFormat="1">
      <c r="A1023" s="152"/>
      <c r="B1023" s="274" t="s">
        <v>87</v>
      </c>
      <c r="C1023" s="275"/>
      <c r="D1023" s="275"/>
      <c r="E1023" s="275"/>
      <c r="F1023" s="276"/>
      <c r="G1023" s="277">
        <v>9000</v>
      </c>
      <c r="H1023" s="292"/>
      <c r="I1023" s="142">
        <v>3000</v>
      </c>
      <c r="J1023" s="117">
        <v>0</v>
      </c>
      <c r="K1023" s="117">
        <v>0</v>
      </c>
      <c r="L1023" s="117">
        <v>0</v>
      </c>
      <c r="M1023" s="117">
        <v>0</v>
      </c>
      <c r="N1023" s="117">
        <v>0</v>
      </c>
      <c r="O1023" s="117">
        <f>3000+3000+3000</f>
        <v>9000</v>
      </c>
      <c r="P1023" s="117">
        <v>0</v>
      </c>
      <c r="Q1023" s="117">
        <v>0</v>
      </c>
      <c r="R1023" s="117">
        <f>0+3379.08</f>
        <v>3379.08</v>
      </c>
      <c r="S1023" s="117">
        <v>0</v>
      </c>
      <c r="T1023" s="117">
        <v>0</v>
      </c>
      <c r="U1023" s="153">
        <f t="shared" si="297"/>
        <v>0.37545333333333331</v>
      </c>
      <c r="V1023" s="128">
        <f t="shared" si="291"/>
        <v>9000</v>
      </c>
      <c r="W1023" s="128">
        <f t="shared" si="292"/>
        <v>0</v>
      </c>
      <c r="X1023" s="128">
        <f t="shared" si="293"/>
        <v>3379.08</v>
      </c>
      <c r="Y1023" s="128">
        <f t="shared" si="294"/>
        <v>0</v>
      </c>
      <c r="Z1023" s="195">
        <f t="shared" si="295"/>
        <v>0.37545333333333331</v>
      </c>
      <c r="AA1023" s="194">
        <f t="shared" si="296"/>
        <v>0</v>
      </c>
    </row>
    <row r="1024" spans="1:27" s="40" customFormat="1">
      <c r="A1024" s="152"/>
      <c r="B1024" s="274" t="s">
        <v>89</v>
      </c>
      <c r="C1024" s="275"/>
      <c r="D1024" s="275"/>
      <c r="E1024" s="275"/>
      <c r="F1024" s="276"/>
      <c r="G1024" s="277">
        <v>8000</v>
      </c>
      <c r="H1024" s="292"/>
      <c r="I1024" s="142">
        <v>0</v>
      </c>
      <c r="J1024" s="117">
        <v>0</v>
      </c>
      <c r="K1024" s="117">
        <v>0</v>
      </c>
      <c r="L1024" s="117">
        <v>0</v>
      </c>
      <c r="M1024" s="117">
        <v>0</v>
      </c>
      <c r="N1024" s="117">
        <v>0</v>
      </c>
      <c r="O1024" s="117">
        <v>8000</v>
      </c>
      <c r="P1024" s="117">
        <v>0</v>
      </c>
      <c r="Q1024" s="117">
        <v>0</v>
      </c>
      <c r="R1024" s="117">
        <f>0+0+0+0</f>
        <v>0</v>
      </c>
      <c r="S1024" s="117">
        <v>0</v>
      </c>
      <c r="T1024" s="117">
        <v>0</v>
      </c>
      <c r="U1024" s="153">
        <f t="shared" si="297"/>
        <v>0</v>
      </c>
      <c r="V1024" s="128">
        <f t="shared" si="291"/>
        <v>8000</v>
      </c>
      <c r="W1024" s="128">
        <f t="shared" si="292"/>
        <v>0</v>
      </c>
      <c r="X1024" s="128">
        <f t="shared" si="293"/>
        <v>0</v>
      </c>
      <c r="Y1024" s="128">
        <f t="shared" si="294"/>
        <v>0</v>
      </c>
      <c r="Z1024" s="195">
        <f t="shared" si="295"/>
        <v>0</v>
      </c>
      <c r="AA1024" s="194">
        <f t="shared" si="296"/>
        <v>0</v>
      </c>
    </row>
    <row r="1025" spans="1:27" s="40" customFormat="1">
      <c r="A1025" s="152"/>
      <c r="B1025" s="274" t="s">
        <v>90</v>
      </c>
      <c r="C1025" s="275"/>
      <c r="D1025" s="275"/>
      <c r="E1025" s="275"/>
      <c r="F1025" s="276"/>
      <c r="G1025" s="277">
        <v>9000</v>
      </c>
      <c r="H1025" s="292"/>
      <c r="I1025" s="142">
        <v>3000</v>
      </c>
      <c r="J1025" s="117">
        <v>0</v>
      </c>
      <c r="K1025" s="117">
        <v>0</v>
      </c>
      <c r="L1025" s="117">
        <v>4617.12</v>
      </c>
      <c r="M1025" s="117">
        <v>0</v>
      </c>
      <c r="N1025" s="117">
        <v>0</v>
      </c>
      <c r="O1025" s="117">
        <f>3000+3000+3000</f>
        <v>9000</v>
      </c>
      <c r="P1025" s="117">
        <v>0</v>
      </c>
      <c r="Q1025" s="117">
        <v>0</v>
      </c>
      <c r="R1025" s="117">
        <f>0+0+0+0+0+0+0+0+4617.12</f>
        <v>4617.12</v>
      </c>
      <c r="S1025" s="117">
        <v>0</v>
      </c>
      <c r="T1025" s="117">
        <v>0</v>
      </c>
      <c r="U1025" s="153">
        <f t="shared" si="297"/>
        <v>0.51301333333333332</v>
      </c>
      <c r="V1025" s="128">
        <f t="shared" si="291"/>
        <v>9000</v>
      </c>
      <c r="W1025" s="128">
        <f t="shared" si="292"/>
        <v>0</v>
      </c>
      <c r="X1025" s="128">
        <f t="shared" si="293"/>
        <v>4617.12</v>
      </c>
      <c r="Y1025" s="128">
        <f t="shared" si="294"/>
        <v>0</v>
      </c>
      <c r="Z1025" s="195">
        <f t="shared" si="295"/>
        <v>0.51301333333333332</v>
      </c>
      <c r="AA1025" s="194">
        <f t="shared" si="296"/>
        <v>0</v>
      </c>
    </row>
    <row r="1026" spans="1:27" s="40" customFormat="1">
      <c r="A1026" s="152"/>
      <c r="B1026" s="274" t="s">
        <v>64</v>
      </c>
      <c r="C1026" s="275"/>
      <c r="D1026" s="275"/>
      <c r="E1026" s="275"/>
      <c r="F1026" s="276"/>
      <c r="G1026" s="277">
        <v>3750</v>
      </c>
      <c r="H1026" s="292"/>
      <c r="I1026" s="142">
        <v>0</v>
      </c>
      <c r="J1026" s="117">
        <v>0</v>
      </c>
      <c r="K1026" s="117">
        <v>0</v>
      </c>
      <c r="L1026" s="117">
        <v>200</v>
      </c>
      <c r="M1026" s="117">
        <v>0</v>
      </c>
      <c r="N1026" s="117">
        <v>0</v>
      </c>
      <c r="O1026" s="117">
        <f>1250+1250</f>
        <v>2500</v>
      </c>
      <c r="P1026" s="117">
        <v>0</v>
      </c>
      <c r="Q1026" s="117">
        <v>0</v>
      </c>
      <c r="R1026" s="117">
        <f>622+200</f>
        <v>822</v>
      </c>
      <c r="S1026" s="117">
        <v>0</v>
      </c>
      <c r="T1026" s="117">
        <v>0</v>
      </c>
      <c r="U1026" s="153">
        <f t="shared" si="297"/>
        <v>0.21920000000000001</v>
      </c>
      <c r="V1026" s="128">
        <f t="shared" si="291"/>
        <v>2500</v>
      </c>
      <c r="W1026" s="128">
        <f t="shared" si="292"/>
        <v>0</v>
      </c>
      <c r="X1026" s="128">
        <f t="shared" si="293"/>
        <v>822</v>
      </c>
      <c r="Y1026" s="128">
        <f t="shared" si="294"/>
        <v>0</v>
      </c>
      <c r="Z1026" s="195">
        <f t="shared" si="295"/>
        <v>0.21920000000000001</v>
      </c>
      <c r="AA1026" s="194">
        <f t="shared" si="296"/>
        <v>0</v>
      </c>
    </row>
    <row r="1027" spans="1:27" s="40" customFormat="1">
      <c r="A1027" s="152"/>
      <c r="B1027" s="274" t="s">
        <v>91</v>
      </c>
      <c r="C1027" s="275"/>
      <c r="D1027" s="275"/>
      <c r="E1027" s="275"/>
      <c r="F1027" s="276"/>
      <c r="G1027" s="277">
        <v>6000</v>
      </c>
      <c r="H1027" s="292"/>
      <c r="I1027" s="142">
        <v>0</v>
      </c>
      <c r="J1027" s="117">
        <v>0</v>
      </c>
      <c r="K1027" s="117">
        <v>0</v>
      </c>
      <c r="L1027" s="117">
        <v>0</v>
      </c>
      <c r="M1027" s="117">
        <v>0</v>
      </c>
      <c r="N1027" s="117">
        <v>0</v>
      </c>
      <c r="O1027" s="117">
        <f>6000</f>
        <v>6000</v>
      </c>
      <c r="P1027" s="117">
        <v>0</v>
      </c>
      <c r="Q1027" s="117">
        <v>0</v>
      </c>
      <c r="R1027" s="117">
        <f>0+0+0+0</f>
        <v>0</v>
      </c>
      <c r="S1027" s="117">
        <v>0</v>
      </c>
      <c r="T1027" s="117">
        <v>0</v>
      </c>
      <c r="U1027" s="153">
        <f t="shared" si="297"/>
        <v>0</v>
      </c>
      <c r="V1027" s="128">
        <f t="shared" si="291"/>
        <v>6000</v>
      </c>
      <c r="W1027" s="128">
        <f t="shared" si="292"/>
        <v>0</v>
      </c>
      <c r="X1027" s="128">
        <f t="shared" si="293"/>
        <v>0</v>
      </c>
      <c r="Y1027" s="128">
        <f t="shared" si="294"/>
        <v>0</v>
      </c>
      <c r="Z1027" s="195">
        <f t="shared" si="295"/>
        <v>0</v>
      </c>
      <c r="AA1027" s="194">
        <f t="shared" si="296"/>
        <v>0</v>
      </c>
    </row>
    <row r="1028" spans="1:27" s="40" customFormat="1">
      <c r="A1028" s="152"/>
      <c r="B1028" s="274" t="s">
        <v>81</v>
      </c>
      <c r="C1028" s="275"/>
      <c r="D1028" s="275"/>
      <c r="E1028" s="275"/>
      <c r="F1028" s="276"/>
      <c r="G1028" s="277">
        <v>195000</v>
      </c>
      <c r="H1028" s="292"/>
      <c r="I1028" s="142">
        <v>13000</v>
      </c>
      <c r="J1028" s="117">
        <v>0</v>
      </c>
      <c r="K1028" s="117">
        <v>0</v>
      </c>
      <c r="L1028" s="117">
        <v>11521.67</v>
      </c>
      <c r="M1028" s="117">
        <v>0</v>
      </c>
      <c r="N1028" s="117">
        <v>0</v>
      </c>
      <c r="O1028" s="117">
        <f>26000+26000+26000+13000+13000+13000+13000+13000+13000</f>
        <v>156000</v>
      </c>
      <c r="P1028" s="117">
        <v>0</v>
      </c>
      <c r="Q1028" s="117">
        <v>0</v>
      </c>
      <c r="R1028" s="117">
        <f>23416.71+27887.03+23419.61+15279.25+11463.61+13780.18+9596.71+15708.75+11521.67</f>
        <v>152073.52000000002</v>
      </c>
      <c r="S1028" s="117">
        <v>0</v>
      </c>
      <c r="T1028" s="117">
        <v>0</v>
      </c>
      <c r="U1028" s="153">
        <f t="shared" si="297"/>
        <v>0.7798642051282052</v>
      </c>
      <c r="V1028" s="128">
        <f t="shared" si="291"/>
        <v>156000</v>
      </c>
      <c r="W1028" s="128">
        <f t="shared" si="292"/>
        <v>0</v>
      </c>
      <c r="X1028" s="128">
        <f t="shared" si="293"/>
        <v>152073.52000000002</v>
      </c>
      <c r="Y1028" s="128">
        <f t="shared" si="294"/>
        <v>0</v>
      </c>
      <c r="Z1028" s="195">
        <f t="shared" si="295"/>
        <v>0.7798642051282052</v>
      </c>
      <c r="AA1028" s="194">
        <f t="shared" si="296"/>
        <v>0</v>
      </c>
    </row>
    <row r="1029" spans="1:27" s="40" customFormat="1" ht="15" customHeight="1">
      <c r="A1029" s="152"/>
      <c r="B1029" s="274" t="s">
        <v>132</v>
      </c>
      <c r="C1029" s="275"/>
      <c r="D1029" s="275"/>
      <c r="E1029" s="275"/>
      <c r="F1029" s="276"/>
      <c r="G1029" s="277">
        <v>1900</v>
      </c>
      <c r="H1029" s="292"/>
      <c r="I1029" s="142">
        <v>0</v>
      </c>
      <c r="J1029" s="117">
        <v>0</v>
      </c>
      <c r="K1029" s="117">
        <v>0</v>
      </c>
      <c r="L1029" s="117">
        <v>0</v>
      </c>
      <c r="M1029" s="117">
        <v>0</v>
      </c>
      <c r="N1029" s="117">
        <v>0</v>
      </c>
      <c r="O1029" s="117">
        <v>1900</v>
      </c>
      <c r="P1029" s="117">
        <v>0</v>
      </c>
      <c r="Q1029" s="117">
        <v>0</v>
      </c>
      <c r="R1029" s="117">
        <f>0+1893.11</f>
        <v>1893.11</v>
      </c>
      <c r="S1029" s="117">
        <v>0</v>
      </c>
      <c r="T1029" s="117">
        <v>0</v>
      </c>
      <c r="U1029" s="153">
        <f>R1029/G1029</f>
        <v>0.9963736842105263</v>
      </c>
      <c r="V1029" s="128">
        <f t="shared" si="291"/>
        <v>1900</v>
      </c>
      <c r="W1029" s="128">
        <f t="shared" si="292"/>
        <v>0</v>
      </c>
      <c r="X1029" s="128">
        <f t="shared" si="293"/>
        <v>1893.11</v>
      </c>
      <c r="Y1029" s="128">
        <f t="shared" si="294"/>
        <v>0</v>
      </c>
      <c r="Z1029" s="195">
        <f t="shared" si="295"/>
        <v>0.9963736842105263</v>
      </c>
      <c r="AA1029" s="194">
        <f t="shared" si="296"/>
        <v>0</v>
      </c>
    </row>
    <row r="1030" spans="1:27" s="40" customFormat="1" ht="15" customHeight="1">
      <c r="A1030" s="152"/>
      <c r="B1030" s="274" t="s">
        <v>133</v>
      </c>
      <c r="C1030" s="275"/>
      <c r="D1030" s="275"/>
      <c r="E1030" s="275"/>
      <c r="F1030" s="276"/>
      <c r="G1030" s="277">
        <v>20000</v>
      </c>
      <c r="H1030" s="292"/>
      <c r="I1030" s="142">
        <v>0</v>
      </c>
      <c r="J1030" s="116">
        <v>0</v>
      </c>
      <c r="K1030" s="116">
        <v>0</v>
      </c>
      <c r="L1030" s="116">
        <v>0</v>
      </c>
      <c r="M1030" s="116">
        <v>0</v>
      </c>
      <c r="N1030" s="116">
        <v>0</v>
      </c>
      <c r="O1030" s="116">
        <v>20000</v>
      </c>
      <c r="P1030" s="116">
        <v>0</v>
      </c>
      <c r="Q1030" s="116">
        <v>0</v>
      </c>
      <c r="R1030" s="116">
        <v>17456</v>
      </c>
      <c r="S1030" s="116">
        <v>0</v>
      </c>
      <c r="T1030" s="116">
        <v>0</v>
      </c>
      <c r="U1030" s="156">
        <f>R1030/G1030</f>
        <v>0.87280000000000002</v>
      </c>
      <c r="V1030" s="128">
        <f t="shared" si="291"/>
        <v>20000</v>
      </c>
      <c r="W1030" s="128">
        <f t="shared" si="292"/>
        <v>0</v>
      </c>
      <c r="X1030" s="128">
        <f t="shared" si="293"/>
        <v>17456</v>
      </c>
      <c r="Y1030" s="128">
        <f t="shared" si="294"/>
        <v>0</v>
      </c>
      <c r="Z1030" s="195">
        <f t="shared" si="295"/>
        <v>0.87280000000000002</v>
      </c>
      <c r="AA1030" s="194">
        <f t="shared" si="296"/>
        <v>0</v>
      </c>
    </row>
    <row r="1031" spans="1:27" s="40" customFormat="1" ht="15" customHeight="1">
      <c r="A1031" s="152"/>
      <c r="B1031" s="274" t="s">
        <v>134</v>
      </c>
      <c r="C1031" s="275"/>
      <c r="D1031" s="275"/>
      <c r="E1031" s="275"/>
      <c r="F1031" s="276"/>
      <c r="G1031" s="277">
        <v>7200</v>
      </c>
      <c r="H1031" s="292"/>
      <c r="I1031" s="142">
        <v>0</v>
      </c>
      <c r="J1031" s="116">
        <v>0</v>
      </c>
      <c r="K1031" s="116">
        <v>0</v>
      </c>
      <c r="L1031" s="116">
        <v>0</v>
      </c>
      <c r="M1031" s="116">
        <v>0</v>
      </c>
      <c r="N1031" s="116">
        <v>0</v>
      </c>
      <c r="O1031" s="116">
        <f>7200</f>
        <v>7200</v>
      </c>
      <c r="P1031" s="116">
        <v>0</v>
      </c>
      <c r="Q1031" s="116">
        <v>0</v>
      </c>
      <c r="R1031" s="116">
        <f>7200</f>
        <v>7200</v>
      </c>
      <c r="S1031" s="116">
        <v>0</v>
      </c>
      <c r="T1031" s="116">
        <v>0</v>
      </c>
      <c r="U1031" s="156">
        <f>R1031/G1031</f>
        <v>1</v>
      </c>
      <c r="V1031" s="128">
        <f t="shared" si="291"/>
        <v>7200</v>
      </c>
      <c r="W1031" s="128">
        <f t="shared" si="292"/>
        <v>0</v>
      </c>
      <c r="X1031" s="128">
        <f t="shared" si="293"/>
        <v>7200</v>
      </c>
      <c r="Y1031" s="128">
        <f t="shared" si="294"/>
        <v>0</v>
      </c>
      <c r="Z1031" s="195">
        <f t="shared" si="295"/>
        <v>1</v>
      </c>
      <c r="AA1031" s="194">
        <f t="shared" si="296"/>
        <v>0</v>
      </c>
    </row>
    <row r="1032" spans="1:27" s="40" customFormat="1" ht="15" customHeight="1">
      <c r="A1032" s="152"/>
      <c r="B1032" s="274" t="s">
        <v>79</v>
      </c>
      <c r="C1032" s="275"/>
      <c r="D1032" s="275"/>
      <c r="E1032" s="275"/>
      <c r="F1032" s="276"/>
      <c r="G1032" s="277">
        <v>37500</v>
      </c>
      <c r="H1032" s="292"/>
      <c r="I1032" s="142">
        <v>0</v>
      </c>
      <c r="J1032" s="116">
        <v>0</v>
      </c>
      <c r="K1032" s="116">
        <v>0</v>
      </c>
      <c r="L1032" s="116">
        <v>0</v>
      </c>
      <c r="M1032" s="116">
        <v>0</v>
      </c>
      <c r="N1032" s="116">
        <v>0</v>
      </c>
      <c r="O1032" s="116">
        <v>37500</v>
      </c>
      <c r="P1032" s="116">
        <v>0</v>
      </c>
      <c r="Q1032" s="116">
        <v>0</v>
      </c>
      <c r="R1032" s="116">
        <f>0+0+0+0+0+0+0+37500</f>
        <v>37500</v>
      </c>
      <c r="S1032" s="116">
        <v>0</v>
      </c>
      <c r="T1032" s="116">
        <v>0</v>
      </c>
      <c r="U1032" s="156">
        <f t="shared" ref="U1032:U1033" si="298">R1032/G1032</f>
        <v>1</v>
      </c>
      <c r="V1032" s="128">
        <f t="shared" si="291"/>
        <v>37500</v>
      </c>
      <c r="W1032" s="128">
        <f t="shared" si="292"/>
        <v>0</v>
      </c>
      <c r="X1032" s="128">
        <f t="shared" si="293"/>
        <v>37500</v>
      </c>
      <c r="Y1032" s="128">
        <f t="shared" si="294"/>
        <v>0</v>
      </c>
      <c r="Z1032" s="195">
        <f t="shared" si="295"/>
        <v>1</v>
      </c>
      <c r="AA1032" s="194">
        <f t="shared" si="296"/>
        <v>0</v>
      </c>
    </row>
    <row r="1033" spans="1:27" s="40" customFormat="1" ht="15" customHeight="1">
      <c r="A1033" s="152"/>
      <c r="B1033" s="274" t="s">
        <v>92</v>
      </c>
      <c r="C1033" s="275"/>
      <c r="D1033" s="275"/>
      <c r="E1033" s="275"/>
      <c r="F1033" s="276"/>
      <c r="G1033" s="277">
        <v>39600</v>
      </c>
      <c r="H1033" s="292"/>
      <c r="I1033" s="142">
        <v>0</v>
      </c>
      <c r="J1033" s="116">
        <v>0</v>
      </c>
      <c r="K1033" s="116">
        <v>0</v>
      </c>
      <c r="L1033" s="116">
        <v>0</v>
      </c>
      <c r="M1033" s="116">
        <v>0</v>
      </c>
      <c r="N1033" s="116">
        <v>0</v>
      </c>
      <c r="O1033" s="116">
        <v>39600</v>
      </c>
      <c r="P1033" s="116">
        <v>0</v>
      </c>
      <c r="Q1033" s="116">
        <v>0</v>
      </c>
      <c r="R1033" s="116">
        <f>0+0+0+0</f>
        <v>0</v>
      </c>
      <c r="S1033" s="116">
        <v>0</v>
      </c>
      <c r="T1033" s="116">
        <v>0</v>
      </c>
      <c r="U1033" s="156">
        <f t="shared" si="298"/>
        <v>0</v>
      </c>
      <c r="V1033" s="128">
        <f t="shared" si="291"/>
        <v>39600</v>
      </c>
      <c r="W1033" s="128">
        <f t="shared" si="292"/>
        <v>0</v>
      </c>
      <c r="X1033" s="128">
        <f t="shared" si="293"/>
        <v>0</v>
      </c>
      <c r="Y1033" s="128">
        <f t="shared" si="294"/>
        <v>0</v>
      </c>
      <c r="Z1033" s="195">
        <f t="shared" si="295"/>
        <v>0</v>
      </c>
      <c r="AA1033" s="194">
        <f t="shared" si="296"/>
        <v>0</v>
      </c>
    </row>
    <row r="1034" spans="1:27" s="40" customFormat="1">
      <c r="A1034" s="152"/>
      <c r="B1034" s="274" t="s">
        <v>65</v>
      </c>
      <c r="C1034" s="275"/>
      <c r="D1034" s="275"/>
      <c r="E1034" s="275"/>
      <c r="F1034" s="276"/>
      <c r="G1034" s="277">
        <v>23750</v>
      </c>
      <c r="H1034" s="292"/>
      <c r="I1034" s="142">
        <v>15000</v>
      </c>
      <c r="J1034" s="116">
        <v>0</v>
      </c>
      <c r="K1034" s="116">
        <v>0</v>
      </c>
      <c r="L1034" s="116">
        <v>1754.81</v>
      </c>
      <c r="M1034" s="116">
        <v>0</v>
      </c>
      <c r="N1034" s="116">
        <v>0</v>
      </c>
      <c r="O1034" s="116">
        <f>3750+2500+15000</f>
        <v>21250</v>
      </c>
      <c r="P1034" s="116">
        <v>0</v>
      </c>
      <c r="Q1034" s="116">
        <v>0</v>
      </c>
      <c r="R1034" s="116">
        <f>2126.81+1754.81</f>
        <v>3881.62</v>
      </c>
      <c r="S1034" s="116">
        <v>0</v>
      </c>
      <c r="T1034" s="116">
        <v>0</v>
      </c>
      <c r="U1034" s="156">
        <f>R1034/G1034</f>
        <v>0.16343663157894736</v>
      </c>
      <c r="V1034" s="128">
        <f t="shared" si="291"/>
        <v>21250</v>
      </c>
      <c r="W1034" s="128">
        <f t="shared" si="292"/>
        <v>0</v>
      </c>
      <c r="X1034" s="128">
        <f t="shared" si="293"/>
        <v>3881.62</v>
      </c>
      <c r="Y1034" s="128">
        <f t="shared" si="294"/>
        <v>0</v>
      </c>
      <c r="Z1034" s="195">
        <f t="shared" si="295"/>
        <v>0.16343663157894736</v>
      </c>
      <c r="AA1034" s="194">
        <f t="shared" si="296"/>
        <v>0</v>
      </c>
    </row>
    <row r="1035" spans="1:27" ht="15.75" thickBot="1">
      <c r="A1035" s="23"/>
      <c r="B1035" s="453"/>
      <c r="C1035" s="454"/>
      <c r="D1035" s="454"/>
      <c r="E1035" s="454"/>
      <c r="F1035" s="455"/>
      <c r="G1035" s="456"/>
      <c r="H1035" s="457"/>
      <c r="I1035" s="139"/>
      <c r="J1035" s="26"/>
      <c r="K1035" s="26"/>
      <c r="L1035" s="26"/>
      <c r="M1035" s="26"/>
      <c r="N1035" s="26"/>
      <c r="O1035" s="26"/>
      <c r="P1035" s="26"/>
      <c r="Q1035" s="26"/>
      <c r="R1035" s="26"/>
      <c r="S1035" s="26"/>
      <c r="T1035" s="26"/>
      <c r="U1035" s="27"/>
    </row>
    <row r="1036" spans="1:27" ht="15.75" thickBot="1">
      <c r="A1036" s="23"/>
      <c r="B1036" s="257" t="s">
        <v>21</v>
      </c>
      <c r="C1036" s="258"/>
      <c r="D1036" s="258"/>
      <c r="E1036" s="258"/>
      <c r="F1036" s="259"/>
      <c r="G1036" s="260">
        <f>SUM(G1014:H1035)</f>
        <v>675408</v>
      </c>
      <c r="H1036" s="261"/>
      <c r="I1036" s="29">
        <f>SUM(I1014:I1035)</f>
        <v>58500</v>
      </c>
      <c r="J1036" s="29"/>
      <c r="K1036" s="29"/>
      <c r="L1036" s="29">
        <f>SUM(L1014:L1035)</f>
        <v>80648.45</v>
      </c>
      <c r="M1036" s="29"/>
      <c r="N1036" s="29"/>
      <c r="O1036" s="29">
        <f>SUM(O1014:O1035)</f>
        <v>551158</v>
      </c>
      <c r="P1036" s="29"/>
      <c r="Q1036" s="29"/>
      <c r="R1036" s="29">
        <f>SUM(R1014:R1035)</f>
        <v>408130.1</v>
      </c>
      <c r="S1036" s="29"/>
      <c r="T1036" s="30"/>
      <c r="U1036" s="78">
        <f>R1036/G1036</f>
        <v>0.6042719363703124</v>
      </c>
      <c r="V1036" s="128">
        <f>+I1036+O914</f>
        <v>551158</v>
      </c>
      <c r="W1036" s="128">
        <f>+O1036-V1036</f>
        <v>0</v>
      </c>
      <c r="X1036" s="128">
        <f>+L1036+R914</f>
        <v>408130.1</v>
      </c>
      <c r="Y1036" s="128">
        <f>+R1036-X1036</f>
        <v>0</v>
      </c>
      <c r="Z1036" s="195">
        <f>+X1036/G1036</f>
        <v>0.6042719363703124</v>
      </c>
      <c r="AA1036" s="194">
        <f>+U1036-Z1036</f>
        <v>0</v>
      </c>
    </row>
    <row r="1037" spans="1:27" ht="15.75" thickBot="1">
      <c r="A1037" s="23"/>
      <c r="B1037" s="297"/>
      <c r="C1037" s="297"/>
      <c r="D1037" s="297"/>
      <c r="E1037" s="297"/>
      <c r="F1037" s="297"/>
      <c r="G1037" s="298"/>
      <c r="H1037" s="298"/>
      <c r="I1037" s="139"/>
      <c r="J1037" s="139"/>
      <c r="K1037" s="139"/>
      <c r="L1037" s="139"/>
      <c r="M1037" s="139"/>
      <c r="N1037" s="139"/>
      <c r="O1037" s="139"/>
      <c r="P1037" s="139"/>
      <c r="Q1037" s="139"/>
      <c r="R1037" s="139"/>
      <c r="S1037" s="139"/>
      <c r="T1037" s="139"/>
      <c r="U1037" s="72"/>
    </row>
    <row r="1038" spans="1:27" ht="15.75" thickBot="1">
      <c r="A1038" s="23"/>
      <c r="B1038" s="284" t="s">
        <v>30</v>
      </c>
      <c r="C1038" s="285"/>
      <c r="D1038" s="285"/>
      <c r="E1038" s="285"/>
      <c r="F1038" s="285"/>
      <c r="G1038" s="285"/>
      <c r="H1038" s="285"/>
      <c r="I1038" s="285"/>
      <c r="J1038" s="285"/>
      <c r="K1038" s="285"/>
      <c r="L1038" s="285"/>
      <c r="M1038" s="285"/>
      <c r="N1038" s="285"/>
      <c r="O1038" s="285"/>
      <c r="P1038" s="285"/>
      <c r="Q1038" s="285"/>
      <c r="R1038" s="285"/>
      <c r="S1038" s="285"/>
      <c r="T1038" s="285"/>
      <c r="U1038" s="286"/>
    </row>
    <row r="1039" spans="1:27" s="40" customFormat="1" ht="15" customHeight="1">
      <c r="A1039" s="152"/>
      <c r="B1039" s="287" t="s">
        <v>80</v>
      </c>
      <c r="C1039" s="288"/>
      <c r="D1039" s="288"/>
      <c r="E1039" s="288"/>
      <c r="F1039" s="289"/>
      <c r="G1039" s="290">
        <v>11500</v>
      </c>
      <c r="H1039" s="291"/>
      <c r="I1039" s="161">
        <v>0</v>
      </c>
      <c r="J1039" s="161">
        <v>0</v>
      </c>
      <c r="K1039" s="161">
        <v>0</v>
      </c>
      <c r="L1039" s="161">
        <v>5883.7</v>
      </c>
      <c r="M1039" s="161">
        <v>0</v>
      </c>
      <c r="N1039" s="161">
        <v>0</v>
      </c>
      <c r="O1039" s="161">
        <f>11500+0</f>
        <v>11500</v>
      </c>
      <c r="P1039" s="161">
        <v>0</v>
      </c>
      <c r="Q1039" s="161">
        <v>0</v>
      </c>
      <c r="R1039" s="161">
        <f>3804.87+5883.7</f>
        <v>9688.57</v>
      </c>
      <c r="S1039" s="161">
        <v>0</v>
      </c>
      <c r="T1039" s="141">
        <v>0</v>
      </c>
      <c r="U1039" s="162">
        <f t="shared" ref="U1039:U1046" si="299">R1039/G1039</f>
        <v>0.84248434782608694</v>
      </c>
      <c r="V1039" s="128">
        <f t="shared" ref="V1039:V1046" si="300">+I1039+O917</f>
        <v>11500</v>
      </c>
      <c r="W1039" s="128">
        <f t="shared" ref="W1039:W1046" si="301">+O1039-V1039</f>
        <v>0</v>
      </c>
      <c r="X1039" s="128">
        <f t="shared" ref="X1039:X1046" si="302">+L1039+R917</f>
        <v>9688.57</v>
      </c>
      <c r="Y1039" s="128">
        <f t="shared" ref="Y1039:Y1046" si="303">+R1039-X1039</f>
        <v>0</v>
      </c>
      <c r="Z1039" s="195">
        <f t="shared" ref="Z1039:Z1046" si="304">+X1039/G1039</f>
        <v>0.84248434782608694</v>
      </c>
      <c r="AA1039" s="194">
        <f t="shared" ref="AA1039:AA1046" si="305">+U1039-Z1039</f>
        <v>0</v>
      </c>
    </row>
    <row r="1040" spans="1:27" s="40" customFormat="1">
      <c r="A1040" s="152"/>
      <c r="B1040" s="274" t="s">
        <v>124</v>
      </c>
      <c r="C1040" s="275"/>
      <c r="D1040" s="275"/>
      <c r="E1040" s="275"/>
      <c r="F1040" s="276"/>
      <c r="G1040" s="277">
        <v>30000</v>
      </c>
      <c r="H1040" s="278"/>
      <c r="I1040" s="116">
        <v>0</v>
      </c>
      <c r="J1040" s="116">
        <v>0</v>
      </c>
      <c r="K1040" s="116">
        <v>0</v>
      </c>
      <c r="L1040" s="116">
        <v>0</v>
      </c>
      <c r="M1040" s="116">
        <v>0</v>
      </c>
      <c r="N1040" s="116">
        <v>0</v>
      </c>
      <c r="O1040" s="116">
        <v>0</v>
      </c>
      <c r="P1040" s="116">
        <v>0</v>
      </c>
      <c r="Q1040" s="116">
        <v>0</v>
      </c>
      <c r="R1040" s="116">
        <v>0</v>
      </c>
      <c r="S1040" s="116">
        <v>0</v>
      </c>
      <c r="T1040" s="117">
        <v>0</v>
      </c>
      <c r="U1040" s="153">
        <f t="shared" si="299"/>
        <v>0</v>
      </c>
      <c r="V1040" s="128">
        <f t="shared" si="300"/>
        <v>0</v>
      </c>
      <c r="W1040" s="128">
        <f t="shared" si="301"/>
        <v>0</v>
      </c>
      <c r="X1040" s="128">
        <f t="shared" si="302"/>
        <v>0</v>
      </c>
      <c r="Y1040" s="128">
        <f t="shared" si="303"/>
        <v>0</v>
      </c>
      <c r="Z1040" s="195">
        <f t="shared" si="304"/>
        <v>0</v>
      </c>
      <c r="AA1040" s="194">
        <f t="shared" si="305"/>
        <v>0</v>
      </c>
    </row>
    <row r="1041" spans="1:27" s="40" customFormat="1" ht="15" customHeight="1">
      <c r="A1041" s="152"/>
      <c r="B1041" s="274" t="s">
        <v>123</v>
      </c>
      <c r="C1041" s="275"/>
      <c r="D1041" s="275"/>
      <c r="E1041" s="275"/>
      <c r="F1041" s="276"/>
      <c r="G1041" s="277">
        <v>12328</v>
      </c>
      <c r="H1041" s="278"/>
      <c r="I1041" s="116">
        <v>0</v>
      </c>
      <c r="J1041" s="116">
        <v>0</v>
      </c>
      <c r="K1041" s="116">
        <v>0</v>
      </c>
      <c r="L1041" s="116">
        <v>0</v>
      </c>
      <c r="M1041" s="116">
        <v>0</v>
      </c>
      <c r="N1041" s="116">
        <v>0</v>
      </c>
      <c r="O1041" s="116">
        <v>12328</v>
      </c>
      <c r="P1041" s="116">
        <v>0</v>
      </c>
      <c r="Q1041" s="116">
        <v>0</v>
      </c>
      <c r="R1041" s="116">
        <v>12328</v>
      </c>
      <c r="S1041" s="116">
        <v>0</v>
      </c>
      <c r="T1041" s="117">
        <v>0</v>
      </c>
      <c r="U1041" s="153">
        <f t="shared" si="299"/>
        <v>1</v>
      </c>
      <c r="V1041" s="128">
        <f t="shared" si="300"/>
        <v>12328</v>
      </c>
      <c r="W1041" s="128">
        <f t="shared" si="301"/>
        <v>0</v>
      </c>
      <c r="X1041" s="128">
        <f t="shared" si="302"/>
        <v>12328</v>
      </c>
      <c r="Y1041" s="128">
        <f t="shared" si="303"/>
        <v>0</v>
      </c>
      <c r="Z1041" s="195">
        <f t="shared" si="304"/>
        <v>1</v>
      </c>
      <c r="AA1041" s="194">
        <f t="shared" si="305"/>
        <v>0</v>
      </c>
    </row>
    <row r="1042" spans="1:27" s="40" customFormat="1" ht="15" customHeight="1">
      <c r="A1042" s="152"/>
      <c r="B1042" s="274" t="s">
        <v>66</v>
      </c>
      <c r="C1042" s="275"/>
      <c r="D1042" s="275"/>
      <c r="E1042" s="275"/>
      <c r="F1042" s="276"/>
      <c r="G1042" s="277">
        <v>16000</v>
      </c>
      <c r="H1042" s="278"/>
      <c r="I1042" s="116">
        <v>0</v>
      </c>
      <c r="J1042" s="116">
        <v>0</v>
      </c>
      <c r="K1042" s="116">
        <v>0</v>
      </c>
      <c r="L1042" s="116">
        <v>0</v>
      </c>
      <c r="M1042" s="116">
        <v>0</v>
      </c>
      <c r="N1042" s="116">
        <v>0</v>
      </c>
      <c r="O1042" s="116">
        <v>16000</v>
      </c>
      <c r="P1042" s="116">
        <v>0</v>
      </c>
      <c r="Q1042" s="116">
        <v>0</v>
      </c>
      <c r="R1042" s="116">
        <f>0+0+0+0+6710.67+9289.33</f>
        <v>16000</v>
      </c>
      <c r="S1042" s="116">
        <v>0</v>
      </c>
      <c r="T1042" s="117">
        <v>0</v>
      </c>
      <c r="U1042" s="153">
        <f t="shared" si="299"/>
        <v>1</v>
      </c>
      <c r="V1042" s="128">
        <f t="shared" si="300"/>
        <v>16000</v>
      </c>
      <c r="W1042" s="128">
        <f t="shared" si="301"/>
        <v>0</v>
      </c>
      <c r="X1042" s="128">
        <f t="shared" si="302"/>
        <v>16000</v>
      </c>
      <c r="Y1042" s="128">
        <f t="shared" si="303"/>
        <v>0</v>
      </c>
      <c r="Z1042" s="195">
        <f t="shared" si="304"/>
        <v>1</v>
      </c>
      <c r="AA1042" s="194">
        <f t="shared" si="305"/>
        <v>0</v>
      </c>
    </row>
    <row r="1043" spans="1:27" s="40" customFormat="1" ht="15" customHeight="1">
      <c r="A1043" s="152"/>
      <c r="B1043" s="274" t="s">
        <v>67</v>
      </c>
      <c r="C1043" s="275"/>
      <c r="D1043" s="275"/>
      <c r="E1043" s="275"/>
      <c r="F1043" s="276"/>
      <c r="G1043" s="277">
        <v>15000</v>
      </c>
      <c r="H1043" s="278"/>
      <c r="I1043" s="116">
        <v>0</v>
      </c>
      <c r="J1043" s="116">
        <v>0</v>
      </c>
      <c r="K1043" s="116">
        <v>0</v>
      </c>
      <c r="L1043" s="116">
        <v>0</v>
      </c>
      <c r="M1043" s="116">
        <v>0</v>
      </c>
      <c r="N1043" s="116">
        <v>0</v>
      </c>
      <c r="O1043" s="116">
        <v>0</v>
      </c>
      <c r="P1043" s="116">
        <v>0</v>
      </c>
      <c r="Q1043" s="116">
        <v>0</v>
      </c>
      <c r="R1043" s="116">
        <v>0</v>
      </c>
      <c r="S1043" s="116">
        <v>0</v>
      </c>
      <c r="T1043" s="117">
        <v>0</v>
      </c>
      <c r="U1043" s="153">
        <f t="shared" si="299"/>
        <v>0</v>
      </c>
      <c r="V1043" s="128">
        <f t="shared" si="300"/>
        <v>0</v>
      </c>
      <c r="W1043" s="128">
        <f t="shared" si="301"/>
        <v>0</v>
      </c>
      <c r="X1043" s="128">
        <f t="shared" si="302"/>
        <v>0</v>
      </c>
      <c r="Y1043" s="128">
        <f t="shared" si="303"/>
        <v>0</v>
      </c>
      <c r="Z1043" s="195">
        <f t="shared" si="304"/>
        <v>0</v>
      </c>
      <c r="AA1043" s="194">
        <f t="shared" si="305"/>
        <v>0</v>
      </c>
    </row>
    <row r="1044" spans="1:27" s="40" customFormat="1" ht="15" customHeight="1">
      <c r="A1044" s="152"/>
      <c r="B1044" s="274" t="s">
        <v>93</v>
      </c>
      <c r="C1044" s="275"/>
      <c r="D1044" s="275"/>
      <c r="E1044" s="275"/>
      <c r="F1044" s="276"/>
      <c r="G1044" s="277">
        <v>12000</v>
      </c>
      <c r="H1044" s="278"/>
      <c r="I1044" s="116">
        <v>0</v>
      </c>
      <c r="J1044" s="116">
        <v>0</v>
      </c>
      <c r="K1044" s="116">
        <v>0</v>
      </c>
      <c r="L1044" s="116">
        <v>12000</v>
      </c>
      <c r="M1044" s="116">
        <v>0</v>
      </c>
      <c r="N1044" s="116">
        <v>0</v>
      </c>
      <c r="O1044" s="116">
        <f>6000+6000</f>
        <v>12000</v>
      </c>
      <c r="P1044" s="116">
        <v>0</v>
      </c>
      <c r="Q1044" s="116">
        <v>0</v>
      </c>
      <c r="R1044" s="116">
        <v>12000</v>
      </c>
      <c r="S1044" s="116">
        <v>0</v>
      </c>
      <c r="T1044" s="117">
        <v>0</v>
      </c>
      <c r="U1044" s="153">
        <f t="shared" si="299"/>
        <v>1</v>
      </c>
      <c r="V1044" s="128">
        <f t="shared" si="300"/>
        <v>12000</v>
      </c>
      <c r="W1044" s="128">
        <f t="shared" si="301"/>
        <v>0</v>
      </c>
      <c r="X1044" s="128">
        <f t="shared" si="302"/>
        <v>12000</v>
      </c>
      <c r="Y1044" s="128">
        <f t="shared" si="303"/>
        <v>0</v>
      </c>
      <c r="Z1044" s="195">
        <f t="shared" si="304"/>
        <v>1</v>
      </c>
      <c r="AA1044" s="194">
        <f t="shared" si="305"/>
        <v>0</v>
      </c>
    </row>
    <row r="1045" spans="1:27" s="40" customFormat="1" ht="15" customHeight="1">
      <c r="A1045" s="152"/>
      <c r="B1045" s="274" t="s">
        <v>69</v>
      </c>
      <c r="C1045" s="275"/>
      <c r="D1045" s="275"/>
      <c r="E1045" s="275"/>
      <c r="F1045" s="276"/>
      <c r="G1045" s="277">
        <v>4400</v>
      </c>
      <c r="H1045" s="278"/>
      <c r="I1045" s="116">
        <v>0</v>
      </c>
      <c r="J1045" s="116">
        <v>0</v>
      </c>
      <c r="K1045" s="116">
        <v>0</v>
      </c>
      <c r="L1045" s="116">
        <v>1047.3900000000001</v>
      </c>
      <c r="M1045" s="116">
        <v>0</v>
      </c>
      <c r="N1045" s="116">
        <v>0</v>
      </c>
      <c r="O1045" s="116">
        <v>4400</v>
      </c>
      <c r="P1045" s="116">
        <v>0</v>
      </c>
      <c r="Q1045" s="116">
        <v>0</v>
      </c>
      <c r="R1045" s="116">
        <f>1952.17+1047.39</f>
        <v>2999.5600000000004</v>
      </c>
      <c r="S1045" s="116">
        <v>0</v>
      </c>
      <c r="T1045" s="117">
        <v>0</v>
      </c>
      <c r="U1045" s="153">
        <f t="shared" si="299"/>
        <v>0.68171818181818189</v>
      </c>
      <c r="V1045" s="128">
        <f t="shared" si="300"/>
        <v>4400</v>
      </c>
      <c r="W1045" s="128">
        <f t="shared" si="301"/>
        <v>0</v>
      </c>
      <c r="X1045" s="128">
        <f t="shared" si="302"/>
        <v>2999.5600000000004</v>
      </c>
      <c r="Y1045" s="128">
        <f t="shared" si="303"/>
        <v>0</v>
      </c>
      <c r="Z1045" s="195">
        <f t="shared" si="304"/>
        <v>0.68171818181818189</v>
      </c>
      <c r="AA1045" s="194">
        <f t="shared" si="305"/>
        <v>0</v>
      </c>
    </row>
    <row r="1046" spans="1:27" s="40" customFormat="1" ht="15" customHeight="1">
      <c r="A1046" s="152"/>
      <c r="B1046" s="274" t="s">
        <v>94</v>
      </c>
      <c r="C1046" s="275"/>
      <c r="D1046" s="275"/>
      <c r="E1046" s="275"/>
      <c r="F1046" s="276"/>
      <c r="G1046" s="277">
        <v>3200</v>
      </c>
      <c r="H1046" s="278"/>
      <c r="I1046" s="116">
        <v>800</v>
      </c>
      <c r="J1046" s="116">
        <v>0</v>
      </c>
      <c r="K1046" s="116">
        <v>0</v>
      </c>
      <c r="L1046" s="116">
        <v>0</v>
      </c>
      <c r="M1046" s="116">
        <v>0</v>
      </c>
      <c r="N1046" s="116">
        <v>0</v>
      </c>
      <c r="O1046" s="116">
        <f>800+800+800</f>
        <v>2400</v>
      </c>
      <c r="P1046" s="116">
        <v>0</v>
      </c>
      <c r="Q1046" s="116">
        <v>0</v>
      </c>
      <c r="R1046" s="116">
        <f>2289</f>
        <v>2289</v>
      </c>
      <c r="S1046" s="116">
        <v>0</v>
      </c>
      <c r="T1046" s="117">
        <v>0</v>
      </c>
      <c r="U1046" s="153">
        <f t="shared" si="299"/>
        <v>0.71531250000000002</v>
      </c>
      <c r="V1046" s="128">
        <f t="shared" si="300"/>
        <v>2400</v>
      </c>
      <c r="W1046" s="128">
        <f t="shared" si="301"/>
        <v>0</v>
      </c>
      <c r="X1046" s="128">
        <f t="shared" si="302"/>
        <v>2289</v>
      </c>
      <c r="Y1046" s="128">
        <f t="shared" si="303"/>
        <v>0</v>
      </c>
      <c r="Z1046" s="195">
        <f t="shared" si="304"/>
        <v>0.71531250000000002</v>
      </c>
      <c r="AA1046" s="194">
        <f t="shared" si="305"/>
        <v>0</v>
      </c>
    </row>
    <row r="1047" spans="1:27" ht="15.75" thickBot="1">
      <c r="A1047" s="23"/>
      <c r="B1047" s="469"/>
      <c r="C1047" s="297"/>
      <c r="D1047" s="297"/>
      <c r="E1047" s="297"/>
      <c r="F1047" s="470"/>
      <c r="G1047" s="456"/>
      <c r="H1047" s="468"/>
      <c r="I1047" s="55"/>
      <c r="J1047" s="55"/>
      <c r="K1047" s="55"/>
      <c r="L1047" s="55"/>
      <c r="M1047" s="55"/>
      <c r="N1047" s="55"/>
      <c r="O1047" s="55"/>
      <c r="P1047" s="55"/>
      <c r="Q1047" s="55"/>
      <c r="R1047" s="55"/>
      <c r="S1047" s="55"/>
      <c r="T1047" s="76"/>
      <c r="U1047" s="77"/>
    </row>
    <row r="1048" spans="1:27" ht="15.75" thickBot="1">
      <c r="A1048" s="23"/>
      <c r="B1048" s="257" t="s">
        <v>21</v>
      </c>
      <c r="C1048" s="258"/>
      <c r="D1048" s="258"/>
      <c r="E1048" s="258"/>
      <c r="F1048" s="259"/>
      <c r="G1048" s="260">
        <f>SUM(G1039:H1047)</f>
        <v>104428</v>
      </c>
      <c r="H1048" s="261"/>
      <c r="I1048" s="29">
        <f>SUM(I1039:I1047)</f>
        <v>800</v>
      </c>
      <c r="J1048" s="29"/>
      <c r="K1048" s="29"/>
      <c r="L1048" s="29">
        <f>SUM(L1039:L1047)</f>
        <v>18931.09</v>
      </c>
      <c r="M1048" s="29"/>
      <c r="N1048" s="29"/>
      <c r="O1048" s="29">
        <f>SUM(O1039:O1047)</f>
        <v>58628</v>
      </c>
      <c r="P1048" s="29"/>
      <c r="Q1048" s="29"/>
      <c r="R1048" s="29">
        <f>SUM(R1039:R1047)</f>
        <v>55305.13</v>
      </c>
      <c r="S1048" s="30"/>
      <c r="T1048" s="73"/>
      <c r="U1048" s="71">
        <f t="shared" ref="U1048" si="306">R1048/G1048</f>
        <v>0.52960058604971849</v>
      </c>
      <c r="V1048" s="128">
        <f>+I1048+O926</f>
        <v>58628</v>
      </c>
      <c r="W1048" s="128">
        <f>+O1048-V1048</f>
        <v>0</v>
      </c>
      <c r="X1048" s="128">
        <f>+L1048+R926</f>
        <v>55305.130000000005</v>
      </c>
      <c r="Y1048" s="128">
        <f>+R1048-X1048</f>
        <v>0</v>
      </c>
      <c r="Z1048" s="195">
        <f>+X1048/G1048</f>
        <v>0.52960058604971849</v>
      </c>
      <c r="AA1048" s="194">
        <f>+U1048-Z1048</f>
        <v>0</v>
      </c>
    </row>
    <row r="1049" spans="1:27" ht="15.75" thickBot="1">
      <c r="C1049" s="32"/>
      <c r="I1049" s="104">
        <f>SUM(I1036,I1048)</f>
        <v>59300</v>
      </c>
      <c r="J1049" s="130"/>
      <c r="K1049" s="130"/>
      <c r="L1049" s="104">
        <f>SUM(L1036,L1048)</f>
        <v>99579.54</v>
      </c>
      <c r="M1049" s="130"/>
      <c r="N1049" s="131"/>
      <c r="O1049" s="104">
        <f>SUM(O1036,O1048)</f>
        <v>609786</v>
      </c>
      <c r="P1049" s="130"/>
      <c r="Q1049" s="130"/>
      <c r="R1049" s="104">
        <f>SUM(R1036,R1048)</f>
        <v>463435.23</v>
      </c>
      <c r="U1049" s="33"/>
    </row>
    <row r="1050" spans="1:27" ht="15.75" thickBot="1">
      <c r="B1050" s="262" t="s">
        <v>31</v>
      </c>
      <c r="C1050" s="263"/>
      <c r="D1050" s="263"/>
      <c r="E1050" s="263"/>
      <c r="F1050" s="263"/>
      <c r="G1050" s="263"/>
      <c r="H1050" s="263"/>
      <c r="I1050" s="263"/>
      <c r="J1050" s="263"/>
      <c r="K1050" s="263"/>
      <c r="L1050" s="263"/>
      <c r="M1050" s="263"/>
      <c r="N1050" s="263"/>
      <c r="O1050" s="263"/>
      <c r="P1050" s="263"/>
      <c r="Q1050" s="263"/>
      <c r="R1050" s="263"/>
      <c r="S1050" s="263"/>
      <c r="T1050" s="263"/>
      <c r="U1050" s="263"/>
      <c r="V1050" s="34"/>
    </row>
    <row r="1051" spans="1:27" ht="15" customHeight="1" thickBot="1">
      <c r="B1051" s="264"/>
      <c r="C1051" s="265"/>
      <c r="D1051" s="267" t="s">
        <v>15</v>
      </c>
      <c r="E1051" s="268"/>
      <c r="F1051" s="268"/>
      <c r="G1051" s="268"/>
      <c r="H1051" s="268"/>
      <c r="I1051" s="269"/>
      <c r="J1051" s="267" t="s">
        <v>32</v>
      </c>
      <c r="K1051" s="268"/>
      <c r="L1051" s="268"/>
      <c r="M1051" s="268"/>
      <c r="N1051" s="268"/>
      <c r="O1051" s="269"/>
      <c r="P1051" s="267" t="s">
        <v>17</v>
      </c>
      <c r="Q1051" s="268"/>
      <c r="R1051" s="268"/>
      <c r="S1051" s="268"/>
      <c r="T1051" s="268"/>
      <c r="U1051" s="35"/>
    </row>
    <row r="1052" spans="1:27" ht="15.75" customHeight="1" thickBot="1">
      <c r="B1052" s="219"/>
      <c r="C1052" s="266"/>
      <c r="D1052" s="270" t="s">
        <v>26</v>
      </c>
      <c r="E1052" s="271"/>
      <c r="F1052" s="272" t="s">
        <v>27</v>
      </c>
      <c r="G1052" s="273"/>
      <c r="H1052" s="268" t="s">
        <v>28</v>
      </c>
      <c r="I1052" s="269"/>
      <c r="J1052" s="272" t="s">
        <v>26</v>
      </c>
      <c r="K1052" s="273"/>
      <c r="L1052" s="272" t="s">
        <v>27</v>
      </c>
      <c r="M1052" s="273"/>
      <c r="N1052" s="268" t="s">
        <v>28</v>
      </c>
      <c r="O1052" s="269"/>
      <c r="P1052" s="272" t="s">
        <v>26</v>
      </c>
      <c r="Q1052" s="273"/>
      <c r="R1052" s="272" t="s">
        <v>27</v>
      </c>
      <c r="S1052" s="273"/>
      <c r="T1052" s="268" t="s">
        <v>28</v>
      </c>
      <c r="U1052" s="269"/>
    </row>
    <row r="1053" spans="1:27" ht="30" customHeight="1">
      <c r="A1053" s="23"/>
      <c r="B1053" s="250" t="s">
        <v>33</v>
      </c>
      <c r="C1053" s="251"/>
      <c r="D1053" s="252">
        <v>675408</v>
      </c>
      <c r="E1053" s="253"/>
      <c r="F1053" s="252">
        <v>0</v>
      </c>
      <c r="G1053" s="253"/>
      <c r="H1053" s="252">
        <v>0</v>
      </c>
      <c r="I1053" s="253"/>
      <c r="J1053" s="254">
        <v>80648.45</v>
      </c>
      <c r="K1053" s="255"/>
      <c r="L1053" s="240">
        <v>0</v>
      </c>
      <c r="M1053" s="253"/>
      <c r="N1053" s="240">
        <v>0</v>
      </c>
      <c r="O1053" s="256"/>
      <c r="P1053" s="254">
        <f>23416.71+27887.03+23419.61+20279.25+15856.72+25980.18+94293.4+96348.75+80648.45</f>
        <v>408130.10000000003</v>
      </c>
      <c r="Q1053" s="255"/>
      <c r="R1053" s="240">
        <v>0</v>
      </c>
      <c r="S1053" s="253"/>
      <c r="T1053" s="240">
        <v>0</v>
      </c>
      <c r="U1053" s="241"/>
    </row>
    <row r="1054" spans="1:27" ht="30" customHeight="1" thickBot="1">
      <c r="A1054" s="4"/>
      <c r="B1054" s="242" t="s">
        <v>34</v>
      </c>
      <c r="C1054" s="243"/>
      <c r="D1054" s="244">
        <v>104428</v>
      </c>
      <c r="E1054" s="245"/>
      <c r="F1054" s="244">
        <v>0</v>
      </c>
      <c r="G1054" s="245"/>
      <c r="H1054" s="244">
        <v>0</v>
      </c>
      <c r="I1054" s="245"/>
      <c r="J1054" s="244">
        <v>18931.09</v>
      </c>
      <c r="K1054" s="245"/>
      <c r="L1054" s="246">
        <v>0</v>
      </c>
      <c r="M1054" s="245"/>
      <c r="N1054" s="246">
        <v>0</v>
      </c>
      <c r="O1054" s="247"/>
      <c r="P1054" s="248">
        <f>0+0+0+12328+6710.67+9289.33+1952.17+6093.87+18931.09</f>
        <v>55305.130000000005</v>
      </c>
      <c r="Q1054" s="249"/>
      <c r="R1054" s="246">
        <v>0</v>
      </c>
      <c r="S1054" s="245"/>
      <c r="T1054" s="246">
        <v>0</v>
      </c>
      <c r="U1054" s="247"/>
    </row>
    <row r="1055" spans="1:27" ht="15.75" thickBot="1">
      <c r="A1055" s="23"/>
      <c r="B1055" s="233" t="s">
        <v>21</v>
      </c>
      <c r="C1055" s="234"/>
      <c r="D1055" s="235">
        <f>SUM(D1053:E1054)</f>
        <v>779836</v>
      </c>
      <c r="E1055" s="236"/>
      <c r="F1055" s="235">
        <f>SUM(F1053:G1054)</f>
        <v>0</v>
      </c>
      <c r="G1055" s="236"/>
      <c r="H1055" s="235">
        <f>SUM(H1053:I1054)</f>
        <v>0</v>
      </c>
      <c r="I1055" s="236"/>
      <c r="J1055" s="237">
        <f>SUM(J1053:K1054)</f>
        <v>99579.54</v>
      </c>
      <c r="K1055" s="238"/>
      <c r="L1055" s="215">
        <f>SUM(L1053:M1054)</f>
        <v>0</v>
      </c>
      <c r="M1055" s="238"/>
      <c r="N1055" s="236">
        <f>SUM(N1053:O1054)</f>
        <v>0</v>
      </c>
      <c r="O1055" s="236"/>
      <c r="P1055" s="237">
        <f>SUM(P1053:Q1054)</f>
        <v>463435.23000000004</v>
      </c>
      <c r="Q1055" s="239"/>
      <c r="R1055" s="215">
        <f>SUM(R1053:S1054)</f>
        <v>0</v>
      </c>
      <c r="S1055" s="238"/>
      <c r="T1055" s="215">
        <f>SUM(T1053:U1054)</f>
        <v>0</v>
      </c>
      <c r="U1055" s="216"/>
    </row>
    <row r="1056" spans="1:27">
      <c r="A1056" s="23"/>
      <c r="B1056" s="135"/>
      <c r="C1056" s="135"/>
      <c r="D1056" s="135"/>
      <c r="E1056" s="135"/>
      <c r="F1056" s="133"/>
      <c r="G1056" s="133"/>
      <c r="H1056" s="140"/>
      <c r="I1056" s="140"/>
      <c r="J1056" s="133"/>
      <c r="K1056" s="133"/>
      <c r="L1056" s="115"/>
      <c r="M1056" s="140"/>
      <c r="N1056" s="133"/>
      <c r="O1056" s="140"/>
      <c r="P1056" s="140"/>
      <c r="Q1056" s="133"/>
      <c r="R1056" s="23"/>
      <c r="S1056" s="23"/>
      <c r="T1056" s="23"/>
      <c r="U1056" s="23"/>
    </row>
    <row r="1057" spans="1:21" ht="15.75" thickBot="1">
      <c r="A1057" s="23"/>
      <c r="B1057" s="135"/>
      <c r="C1057" s="135"/>
      <c r="D1057" s="135"/>
      <c r="E1057" s="135"/>
      <c r="F1057" s="133"/>
      <c r="G1057" s="133"/>
      <c r="H1057" s="133"/>
      <c r="I1057" s="133"/>
      <c r="J1057" s="133"/>
      <c r="K1057" s="133"/>
      <c r="L1057" s="133"/>
      <c r="M1057" s="133"/>
      <c r="N1057" s="133"/>
      <c r="O1057" s="133"/>
      <c r="P1057" s="133"/>
      <c r="Q1057" s="133"/>
      <c r="R1057" s="23"/>
      <c r="S1057" s="23"/>
      <c r="T1057" s="23"/>
      <c r="U1057" s="23"/>
    </row>
    <row r="1058" spans="1:21" ht="15.75" thickBot="1">
      <c r="B1058" s="217" t="s">
        <v>35</v>
      </c>
      <c r="C1058" s="218"/>
      <c r="D1058" s="218"/>
      <c r="E1058" s="219"/>
      <c r="F1058" s="205"/>
      <c r="G1058" s="205"/>
      <c r="H1058" s="205"/>
      <c r="I1058" s="205"/>
      <c r="J1058" s="205"/>
      <c r="K1058" s="205"/>
      <c r="L1058" s="205"/>
      <c r="M1058" s="205"/>
      <c r="N1058" s="205"/>
      <c r="O1058" s="205"/>
      <c r="P1058" s="205"/>
      <c r="Q1058" s="205"/>
      <c r="R1058" s="205"/>
      <c r="S1058" s="205"/>
      <c r="T1058" s="205"/>
      <c r="U1058" s="205"/>
    </row>
    <row r="1059" spans="1:21">
      <c r="B1059" s="444"/>
      <c r="C1059" s="445"/>
      <c r="D1059" s="445"/>
      <c r="E1059" s="445"/>
      <c r="F1059" s="445"/>
      <c r="G1059" s="445"/>
      <c r="H1059" s="445"/>
      <c r="I1059" s="445"/>
      <c r="J1059" s="445"/>
      <c r="K1059" s="445"/>
      <c r="L1059" s="445"/>
      <c r="M1059" s="445"/>
      <c r="N1059" s="445"/>
      <c r="O1059" s="445"/>
      <c r="P1059" s="445"/>
      <c r="Q1059" s="445"/>
      <c r="R1059" s="445"/>
      <c r="S1059" s="445"/>
      <c r="T1059" s="445"/>
      <c r="U1059" s="446"/>
    </row>
    <row r="1060" spans="1:21">
      <c r="B1060" s="447"/>
      <c r="C1060" s="448"/>
      <c r="D1060" s="448"/>
      <c r="E1060" s="448"/>
      <c r="F1060" s="448"/>
      <c r="G1060" s="448"/>
      <c r="H1060" s="448"/>
      <c r="I1060" s="448"/>
      <c r="J1060" s="448"/>
      <c r="K1060" s="448"/>
      <c r="L1060" s="448"/>
      <c r="M1060" s="448"/>
      <c r="N1060" s="448"/>
      <c r="O1060" s="448"/>
      <c r="P1060" s="448"/>
      <c r="Q1060" s="448"/>
      <c r="R1060" s="448"/>
      <c r="S1060" s="448"/>
      <c r="T1060" s="448"/>
      <c r="U1060" s="449"/>
    </row>
    <row r="1061" spans="1:21">
      <c r="B1061" s="447"/>
      <c r="C1061" s="448"/>
      <c r="D1061" s="448"/>
      <c r="E1061" s="448"/>
      <c r="F1061" s="448"/>
      <c r="G1061" s="448"/>
      <c r="H1061" s="448"/>
      <c r="I1061" s="448"/>
      <c r="J1061" s="448"/>
      <c r="K1061" s="448"/>
      <c r="L1061" s="448"/>
      <c r="M1061" s="448"/>
      <c r="N1061" s="448"/>
      <c r="O1061" s="448"/>
      <c r="P1061" s="448"/>
      <c r="Q1061" s="448"/>
      <c r="R1061" s="448"/>
      <c r="S1061" s="448"/>
      <c r="T1061" s="448"/>
      <c r="U1061" s="449"/>
    </row>
    <row r="1062" spans="1:21">
      <c r="B1062" s="447"/>
      <c r="C1062" s="448"/>
      <c r="D1062" s="448"/>
      <c r="E1062" s="448"/>
      <c r="F1062" s="448"/>
      <c r="G1062" s="448"/>
      <c r="H1062" s="448"/>
      <c r="I1062" s="448"/>
      <c r="J1062" s="448"/>
      <c r="K1062" s="448"/>
      <c r="L1062" s="448"/>
      <c r="M1062" s="448"/>
      <c r="N1062" s="448"/>
      <c r="O1062" s="448"/>
      <c r="P1062" s="448"/>
      <c r="Q1062" s="448"/>
      <c r="R1062" s="448"/>
      <c r="S1062" s="448"/>
      <c r="T1062" s="448"/>
      <c r="U1062" s="449"/>
    </row>
    <row r="1063" spans="1:21">
      <c r="B1063" s="447"/>
      <c r="C1063" s="448"/>
      <c r="D1063" s="448"/>
      <c r="E1063" s="448"/>
      <c r="F1063" s="448"/>
      <c r="G1063" s="448"/>
      <c r="H1063" s="448"/>
      <c r="I1063" s="448"/>
      <c r="J1063" s="448"/>
      <c r="K1063" s="448"/>
      <c r="L1063" s="448"/>
      <c r="M1063" s="448"/>
      <c r="N1063" s="448"/>
      <c r="O1063" s="448"/>
      <c r="P1063" s="448"/>
      <c r="Q1063" s="448"/>
      <c r="R1063" s="448"/>
      <c r="S1063" s="448"/>
      <c r="T1063" s="448"/>
      <c r="U1063" s="449"/>
    </row>
    <row r="1064" spans="1:21">
      <c r="B1064" s="447"/>
      <c r="C1064" s="448"/>
      <c r="D1064" s="448"/>
      <c r="E1064" s="448"/>
      <c r="F1064" s="448"/>
      <c r="G1064" s="448"/>
      <c r="H1064" s="448"/>
      <c r="I1064" s="448"/>
      <c r="J1064" s="448"/>
      <c r="K1064" s="448"/>
      <c r="L1064" s="448"/>
      <c r="M1064" s="448"/>
      <c r="N1064" s="448"/>
      <c r="O1064" s="448"/>
      <c r="P1064" s="448"/>
      <c r="Q1064" s="448"/>
      <c r="R1064" s="448"/>
      <c r="S1064" s="448"/>
      <c r="T1064" s="448"/>
      <c r="U1064" s="449"/>
    </row>
    <row r="1065" spans="1:21" ht="15.75" thickBot="1">
      <c r="B1065" s="450"/>
      <c r="C1065" s="451"/>
      <c r="D1065" s="451"/>
      <c r="E1065" s="451"/>
      <c r="F1065" s="451"/>
      <c r="G1065" s="451"/>
      <c r="H1065" s="451"/>
      <c r="I1065" s="451"/>
      <c r="J1065" s="451"/>
      <c r="K1065" s="451"/>
      <c r="L1065" s="451"/>
      <c r="M1065" s="451"/>
      <c r="N1065" s="451"/>
      <c r="O1065" s="451"/>
      <c r="P1065" s="451"/>
      <c r="Q1065" s="451"/>
      <c r="R1065" s="451"/>
      <c r="S1065" s="451"/>
      <c r="T1065" s="451"/>
      <c r="U1065" s="452"/>
    </row>
    <row r="1066" spans="1:21">
      <c r="B1066" s="23"/>
    </row>
    <row r="1067" spans="1:21">
      <c r="H1067" s="40"/>
      <c r="I1067" s="40"/>
      <c r="O1067" s="40"/>
      <c r="Q1067" s="40"/>
    </row>
    <row r="1068" spans="1:21">
      <c r="B1068" s="220" t="s">
        <v>38</v>
      </c>
      <c r="C1068" s="220"/>
      <c r="D1068" s="220"/>
      <c r="E1068" s="220"/>
      <c r="F1068" s="220"/>
      <c r="G1068" s="220"/>
      <c r="I1068" s="41"/>
      <c r="J1068" s="213" t="s">
        <v>36</v>
      </c>
      <c r="K1068" s="213"/>
      <c r="L1068" s="213"/>
      <c r="M1068" s="213"/>
      <c r="N1068" s="213"/>
      <c r="O1068" s="213"/>
      <c r="R1068" s="213" t="s">
        <v>37</v>
      </c>
      <c r="S1068" s="213"/>
      <c r="T1068" s="213"/>
      <c r="U1068" s="213"/>
    </row>
    <row r="1069" spans="1:21">
      <c r="B1069" s="220"/>
      <c r="C1069" s="220"/>
      <c r="D1069" s="220"/>
      <c r="E1069" s="220"/>
      <c r="F1069" s="220"/>
      <c r="G1069" s="220"/>
      <c r="H1069" s="42"/>
      <c r="I1069" s="42"/>
      <c r="J1069" s="221"/>
      <c r="K1069" s="221"/>
      <c r="L1069" s="221"/>
      <c r="M1069" s="221"/>
      <c r="N1069" s="221"/>
      <c r="O1069" s="221"/>
      <c r="P1069" s="42"/>
      <c r="Q1069" s="42"/>
      <c r="R1069" s="210" t="s">
        <v>0</v>
      </c>
      <c r="S1069" s="210"/>
      <c r="T1069" s="210"/>
      <c r="U1069" s="210"/>
    </row>
    <row r="1070" spans="1:21">
      <c r="B1070" s="220"/>
      <c r="C1070" s="220"/>
      <c r="D1070" s="220"/>
      <c r="E1070" s="220"/>
      <c r="F1070" s="220"/>
      <c r="G1070" s="220"/>
      <c r="H1070" s="132"/>
      <c r="I1070" s="132"/>
      <c r="J1070" s="221"/>
      <c r="K1070" s="221"/>
      <c r="L1070" s="221"/>
      <c r="M1070" s="221"/>
      <c r="N1070" s="221"/>
      <c r="O1070" s="221"/>
      <c r="P1070" s="132"/>
      <c r="Q1070" s="132"/>
      <c r="R1070" s="210"/>
      <c r="S1070" s="210"/>
      <c r="T1070" s="210"/>
      <c r="U1070" s="210"/>
    </row>
    <row r="1071" spans="1:21">
      <c r="B1071" s="220"/>
      <c r="C1071" s="220"/>
      <c r="D1071" s="220"/>
      <c r="E1071" s="220"/>
      <c r="F1071" s="220"/>
      <c r="G1071" s="220"/>
      <c r="H1071" s="132"/>
      <c r="I1071" s="132"/>
      <c r="J1071" s="221"/>
      <c r="K1071" s="221"/>
      <c r="L1071" s="221"/>
      <c r="M1071" s="221"/>
      <c r="N1071" s="221"/>
      <c r="O1071" s="221"/>
      <c r="P1071" s="132"/>
      <c r="Q1071" s="132"/>
      <c r="R1071" s="210"/>
      <c r="S1071" s="210"/>
      <c r="T1071" s="210"/>
      <c r="U1071" s="210"/>
    </row>
    <row r="1072" spans="1:21">
      <c r="B1072" s="220"/>
      <c r="C1072" s="220"/>
      <c r="D1072" s="220"/>
      <c r="E1072" s="220"/>
      <c r="F1072" s="220"/>
      <c r="G1072" s="220"/>
      <c r="H1072" s="132"/>
      <c r="I1072" s="132"/>
      <c r="J1072" s="221"/>
      <c r="K1072" s="221"/>
      <c r="L1072" s="221"/>
      <c r="M1072" s="221"/>
      <c r="N1072" s="221"/>
      <c r="O1072" s="221"/>
      <c r="P1072" s="132"/>
      <c r="Q1072" s="132"/>
      <c r="R1072" s="210"/>
      <c r="S1072" s="210"/>
      <c r="T1072" s="210"/>
      <c r="U1072" s="210"/>
    </row>
    <row r="1073" spans="2:21" ht="15.75" thickBot="1">
      <c r="B1073" s="223"/>
      <c r="C1073" s="223"/>
      <c r="D1073" s="223"/>
      <c r="E1073" s="223"/>
      <c r="F1073" s="223"/>
      <c r="G1073" s="223"/>
      <c r="J1073" s="222"/>
      <c r="K1073" s="222"/>
      <c r="L1073" s="222"/>
      <c r="M1073" s="222"/>
      <c r="N1073" s="222"/>
      <c r="O1073" s="222"/>
      <c r="R1073" s="205"/>
      <c r="S1073" s="205"/>
      <c r="T1073" s="205"/>
      <c r="U1073" s="205"/>
    </row>
    <row r="1074" spans="2:21">
      <c r="B1074" s="210" t="s">
        <v>101</v>
      </c>
      <c r="C1074" s="210"/>
      <c r="D1074" s="210"/>
      <c r="E1074" s="210"/>
      <c r="F1074" s="210"/>
      <c r="G1074" s="210"/>
      <c r="J1074" s="204" t="s">
        <v>102</v>
      </c>
      <c r="K1074" s="204"/>
      <c r="L1074" s="204"/>
      <c r="M1074" s="204"/>
      <c r="N1074" s="204"/>
      <c r="O1074" s="204"/>
      <c r="R1074" s="211" t="s">
        <v>137</v>
      </c>
      <c r="S1074" s="211"/>
      <c r="T1074" s="211"/>
      <c r="U1074" s="211"/>
    </row>
    <row r="1075" spans="2:21">
      <c r="B1075" s="204" t="s">
        <v>103</v>
      </c>
      <c r="C1075" s="204"/>
      <c r="D1075" s="204"/>
      <c r="E1075" s="204"/>
      <c r="F1075" s="204"/>
      <c r="G1075" s="204"/>
      <c r="J1075" s="212" t="s">
        <v>104</v>
      </c>
      <c r="K1075" s="212"/>
      <c r="L1075" s="212"/>
      <c r="M1075" s="212"/>
      <c r="N1075" s="212"/>
      <c r="O1075" s="212"/>
      <c r="P1075" s="118"/>
      <c r="Q1075" s="118"/>
      <c r="R1075" s="212" t="s">
        <v>105</v>
      </c>
      <c r="S1075" s="212"/>
      <c r="T1075" s="212"/>
      <c r="U1075" s="212"/>
    </row>
    <row r="1077" spans="2:21">
      <c r="J1077" s="213" t="s">
        <v>50</v>
      </c>
      <c r="K1077" s="213"/>
      <c r="L1077" s="213"/>
      <c r="M1077" s="213"/>
      <c r="N1077" s="213"/>
      <c r="O1077" s="213"/>
    </row>
    <row r="1078" spans="2:21">
      <c r="C1078" s="214" t="s">
        <v>157</v>
      </c>
      <c r="D1078" s="214"/>
      <c r="E1078" s="214"/>
      <c r="F1078" s="214"/>
      <c r="J1078" s="206" t="s">
        <v>48</v>
      </c>
      <c r="K1078" s="206"/>
      <c r="L1078" s="206"/>
      <c r="M1078" s="206"/>
      <c r="N1078" s="206"/>
      <c r="O1078" s="206"/>
      <c r="R1078" s="206" t="s">
        <v>51</v>
      </c>
      <c r="S1078" s="206"/>
      <c r="T1078" s="206"/>
      <c r="U1078" s="206"/>
    </row>
    <row r="1079" spans="2:21">
      <c r="B1079" s="204"/>
      <c r="C1079" s="204"/>
      <c r="D1079" s="204"/>
      <c r="E1079" s="204"/>
      <c r="F1079" s="204"/>
      <c r="G1079" s="204"/>
      <c r="J1079" s="206"/>
      <c r="K1079" s="206"/>
      <c r="L1079" s="206"/>
      <c r="M1079" s="206"/>
      <c r="N1079" s="206"/>
      <c r="O1079" s="206"/>
      <c r="R1079" s="204"/>
      <c r="S1079" s="204"/>
      <c r="T1079" s="204"/>
      <c r="U1079" s="204"/>
    </row>
    <row r="1080" spans="2:21">
      <c r="B1080" s="204"/>
      <c r="C1080" s="204"/>
      <c r="D1080" s="204"/>
      <c r="E1080" s="204"/>
      <c r="F1080" s="204"/>
      <c r="G1080" s="204"/>
      <c r="J1080" s="206"/>
      <c r="K1080" s="206"/>
      <c r="L1080" s="206"/>
      <c r="M1080" s="206"/>
      <c r="N1080" s="206"/>
      <c r="O1080" s="206"/>
      <c r="R1080" s="204"/>
      <c r="S1080" s="204"/>
      <c r="T1080" s="204"/>
      <c r="U1080" s="204"/>
    </row>
    <row r="1081" spans="2:21">
      <c r="B1081" s="204"/>
      <c r="C1081" s="204"/>
      <c r="D1081" s="204"/>
      <c r="E1081" s="204"/>
      <c r="F1081" s="204"/>
      <c r="G1081" s="204"/>
      <c r="J1081" s="206"/>
      <c r="K1081" s="206"/>
      <c r="L1081" s="206"/>
      <c r="M1081" s="206"/>
      <c r="N1081" s="206"/>
      <c r="O1081" s="206"/>
      <c r="R1081" s="204"/>
      <c r="S1081" s="204"/>
      <c r="T1081" s="204"/>
      <c r="U1081" s="204"/>
    </row>
    <row r="1082" spans="2:21" ht="15.75" thickBot="1">
      <c r="B1082" s="205"/>
      <c r="C1082" s="205"/>
      <c r="D1082" s="205"/>
      <c r="E1082" s="205"/>
      <c r="F1082" s="205"/>
      <c r="G1082" s="205"/>
      <c r="H1082" s="51"/>
      <c r="I1082" s="51"/>
      <c r="J1082" s="207"/>
      <c r="K1082" s="207"/>
      <c r="L1082" s="207"/>
      <c r="M1082" s="207"/>
      <c r="N1082" s="207"/>
      <c r="O1082" s="207"/>
      <c r="P1082" s="51"/>
      <c r="Q1082" s="51"/>
      <c r="R1082" s="205"/>
      <c r="S1082" s="205"/>
      <c r="T1082" s="205"/>
      <c r="U1082" s="205"/>
    </row>
    <row r="1083" spans="2:21">
      <c r="B1083" s="208" t="s">
        <v>106</v>
      </c>
      <c r="C1083" s="208"/>
      <c r="D1083" s="208"/>
      <c r="E1083" s="208"/>
      <c r="F1083" s="208"/>
      <c r="G1083" s="208"/>
      <c r="H1083" s="119"/>
      <c r="I1083" s="119"/>
      <c r="J1083" s="208" t="s">
        <v>107</v>
      </c>
      <c r="K1083" s="208"/>
      <c r="L1083" s="208"/>
      <c r="M1083" s="208"/>
      <c r="N1083" s="208"/>
      <c r="O1083" s="208"/>
      <c r="P1083" s="51"/>
      <c r="Q1083" s="51"/>
      <c r="R1083" s="208" t="s">
        <v>108</v>
      </c>
      <c r="S1083" s="208"/>
      <c r="T1083" s="208"/>
      <c r="U1083" s="208"/>
    </row>
    <row r="1084" spans="2:21" ht="32.25" customHeight="1">
      <c r="B1084" s="209" t="s">
        <v>109</v>
      </c>
      <c r="C1084" s="209"/>
      <c r="D1084" s="209"/>
      <c r="E1084" s="209"/>
      <c r="F1084" s="209"/>
      <c r="G1084" s="209"/>
      <c r="J1084" s="209" t="s">
        <v>110</v>
      </c>
      <c r="K1084" s="209"/>
      <c r="L1084" s="209"/>
      <c r="M1084" s="209"/>
      <c r="N1084" s="209"/>
      <c r="O1084" s="209"/>
      <c r="R1084" s="209" t="s">
        <v>111</v>
      </c>
      <c r="S1084" s="209"/>
      <c r="T1084" s="209"/>
      <c r="U1084" s="209"/>
    </row>
    <row r="1088" spans="2:21" ht="23.25">
      <c r="B1088" s="443" t="s">
        <v>116</v>
      </c>
      <c r="C1088" s="443"/>
      <c r="D1088" s="443"/>
      <c r="E1088" s="443"/>
      <c r="F1088" s="443"/>
      <c r="G1088" s="443"/>
      <c r="H1088" s="443"/>
      <c r="I1088" s="443"/>
      <c r="J1088" s="443"/>
      <c r="K1088" s="443"/>
      <c r="L1088" s="443"/>
      <c r="M1088" s="443"/>
      <c r="N1088" s="443"/>
      <c r="O1088" s="443"/>
      <c r="P1088" s="443"/>
      <c r="Q1088" s="443"/>
      <c r="R1088" s="443"/>
      <c r="S1088" s="443"/>
      <c r="T1088" s="443"/>
      <c r="U1088" s="443"/>
    </row>
    <row r="1091" spans="1:21" ht="15" customHeight="1"/>
    <row r="1092" spans="1:21" ht="15" customHeight="1">
      <c r="F1092" s="1"/>
      <c r="G1092" s="1"/>
      <c r="H1092" s="1"/>
      <c r="I1092" s="1"/>
      <c r="J1092" s="1"/>
      <c r="K1092" s="1"/>
      <c r="L1092" s="1"/>
      <c r="M1092" s="1"/>
      <c r="N1092" s="1"/>
      <c r="O1092" s="1"/>
    </row>
    <row r="1093" spans="1:21" ht="15" customHeight="1">
      <c r="B1093" s="427" t="s">
        <v>125</v>
      </c>
      <c r="C1093" s="427"/>
      <c r="D1093" s="427"/>
      <c r="E1093" s="427"/>
      <c r="F1093" s="427"/>
      <c r="G1093" s="427"/>
      <c r="H1093" s="427"/>
      <c r="I1093" s="427"/>
      <c r="J1093" s="427"/>
      <c r="K1093" s="427"/>
      <c r="L1093" s="427"/>
      <c r="M1093" s="427"/>
      <c r="N1093" s="427"/>
      <c r="O1093" s="427"/>
      <c r="P1093" s="427"/>
      <c r="Q1093" s="427"/>
      <c r="R1093" s="427"/>
      <c r="S1093" s="427"/>
      <c r="T1093" s="427"/>
      <c r="U1093" s="427"/>
    </row>
    <row r="1094" spans="1:21" ht="15" customHeight="1">
      <c r="F1094" t="s">
        <v>0</v>
      </c>
    </row>
    <row r="1095" spans="1:21" ht="15" customHeight="1">
      <c r="B1095" s="2"/>
      <c r="C1095" s="2"/>
      <c r="D1095" s="2"/>
      <c r="E1095" s="2"/>
      <c r="F1095" s="2"/>
      <c r="G1095" s="2"/>
      <c r="H1095" s="2"/>
      <c r="I1095" s="2"/>
      <c r="J1095" s="2"/>
      <c r="K1095" s="2"/>
      <c r="L1095" s="2"/>
      <c r="M1095" s="2"/>
      <c r="N1095" s="2"/>
      <c r="O1095" s="2"/>
      <c r="P1095" s="2"/>
      <c r="Q1095" s="2"/>
      <c r="R1095" s="2"/>
      <c r="S1095" s="2"/>
      <c r="T1095" s="2"/>
      <c r="U1095" s="2"/>
    </row>
    <row r="1096" spans="1:21" ht="15" customHeight="1" thickBot="1">
      <c r="B1096" s="3"/>
      <c r="C1096" s="3"/>
      <c r="D1096" s="3"/>
      <c r="E1096" s="3"/>
      <c r="F1096" s="3"/>
      <c r="G1096" s="3"/>
      <c r="H1096" s="3"/>
      <c r="I1096" s="3"/>
      <c r="J1096" s="3"/>
      <c r="K1096" s="3"/>
      <c r="L1096" s="3"/>
      <c r="M1096" s="3"/>
      <c r="N1096" s="3"/>
      <c r="O1096" s="3"/>
      <c r="P1096" s="3"/>
      <c r="Q1096" s="3"/>
      <c r="R1096" s="3"/>
      <c r="S1096" s="3"/>
      <c r="T1096" s="3"/>
      <c r="U1096" s="3"/>
    </row>
    <row r="1097" spans="1:21" ht="15" customHeight="1">
      <c r="B1097" s="385" t="s">
        <v>1</v>
      </c>
      <c r="C1097" s="386"/>
      <c r="D1097" s="386"/>
      <c r="E1097" s="386"/>
      <c r="F1097" s="387"/>
      <c r="G1097" s="428" t="s">
        <v>164</v>
      </c>
      <c r="H1097" s="429"/>
      <c r="I1097" s="429"/>
      <c r="J1097" s="429"/>
      <c r="K1097" s="429"/>
      <c r="L1097" s="429"/>
      <c r="M1097" s="429"/>
      <c r="N1097" s="429"/>
      <c r="O1097" s="429"/>
      <c r="P1097" s="429"/>
      <c r="Q1097" s="429"/>
      <c r="R1097" s="429"/>
      <c r="S1097" s="429"/>
      <c r="T1097" s="429"/>
      <c r="U1097" s="430"/>
    </row>
    <row r="1098" spans="1:21" ht="15" customHeight="1">
      <c r="A1098" s="4"/>
      <c r="B1098" s="431" t="s">
        <v>2</v>
      </c>
      <c r="C1098" s="432"/>
      <c r="D1098" s="432"/>
      <c r="E1098" s="432"/>
      <c r="F1098" s="433"/>
      <c r="G1098" s="434" t="s">
        <v>163</v>
      </c>
      <c r="H1098" s="435"/>
      <c r="I1098" s="435"/>
      <c r="J1098" s="435"/>
      <c r="K1098" s="435"/>
      <c r="L1098" s="435"/>
      <c r="M1098" s="435"/>
      <c r="N1098" s="435"/>
      <c r="O1098" s="435"/>
      <c r="P1098" s="435"/>
      <c r="Q1098" s="435"/>
      <c r="R1098" s="435"/>
      <c r="S1098" s="435"/>
      <c r="T1098" s="435"/>
      <c r="U1098" s="436"/>
    </row>
    <row r="1099" spans="1:21" ht="15" customHeight="1">
      <c r="A1099" s="4"/>
      <c r="B1099" s="385" t="s">
        <v>3</v>
      </c>
      <c r="C1099" s="386"/>
      <c r="D1099" s="386"/>
      <c r="E1099" s="386"/>
      <c r="F1099" s="387"/>
      <c r="G1099" s="437" t="s">
        <v>156</v>
      </c>
      <c r="H1099" s="438"/>
      <c r="I1099" s="438"/>
      <c r="J1099" s="438"/>
      <c r="K1099" s="438"/>
      <c r="L1099" s="438"/>
      <c r="M1099" s="438"/>
      <c r="N1099" s="438"/>
      <c r="O1099" s="438"/>
      <c r="P1099" s="438"/>
      <c r="Q1099" s="438"/>
      <c r="R1099" s="438"/>
      <c r="S1099" s="438"/>
      <c r="T1099" s="438"/>
      <c r="U1099" s="439"/>
    </row>
    <row r="1100" spans="1:21" ht="15" customHeight="1">
      <c r="A1100" s="4"/>
      <c r="B1100" s="385" t="s">
        <v>4</v>
      </c>
      <c r="C1100" s="386"/>
      <c r="D1100" s="386"/>
      <c r="E1100" s="386"/>
      <c r="F1100" s="387"/>
      <c r="G1100" s="440" t="s">
        <v>165</v>
      </c>
      <c r="H1100" s="441"/>
      <c r="I1100" s="441"/>
      <c r="J1100" s="441"/>
      <c r="K1100" s="441"/>
      <c r="L1100" s="441"/>
      <c r="M1100" s="441"/>
      <c r="N1100" s="441"/>
      <c r="O1100" s="441"/>
      <c r="P1100" s="441"/>
      <c r="Q1100" s="441"/>
      <c r="R1100" s="441"/>
      <c r="S1100" s="441"/>
      <c r="T1100" s="441"/>
      <c r="U1100" s="442"/>
    </row>
    <row r="1101" spans="1:21" ht="15" customHeight="1">
      <c r="A1101" s="4"/>
      <c r="B1101" s="385" t="s">
        <v>5</v>
      </c>
      <c r="C1101" s="386"/>
      <c r="D1101" s="386"/>
      <c r="E1101" s="386"/>
      <c r="F1101" s="387"/>
      <c r="G1101" s="410" t="s">
        <v>6</v>
      </c>
      <c r="H1101" s="411"/>
      <c r="I1101" s="412">
        <v>779836</v>
      </c>
      <c r="J1101" s="413"/>
      <c r="K1101" s="413"/>
      <c r="L1101" s="414"/>
      <c r="M1101" s="5" t="s">
        <v>7</v>
      </c>
      <c r="N1101" s="412">
        <v>0</v>
      </c>
      <c r="O1101" s="413"/>
      <c r="P1101" s="413"/>
      <c r="Q1101" s="414"/>
      <c r="R1101" s="415" t="s">
        <v>8</v>
      </c>
      <c r="S1101" s="416"/>
      <c r="T1101" s="412">
        <v>0</v>
      </c>
      <c r="U1101" s="417"/>
    </row>
    <row r="1102" spans="1:21">
      <c r="A1102" s="4"/>
      <c r="B1102" s="385" t="s">
        <v>9</v>
      </c>
      <c r="C1102" s="386"/>
      <c r="D1102" s="386"/>
      <c r="E1102" s="386"/>
      <c r="F1102" s="387"/>
      <c r="G1102" s="418" t="s">
        <v>6</v>
      </c>
      <c r="H1102" s="419"/>
      <c r="I1102" s="412">
        <v>779836</v>
      </c>
      <c r="J1102" s="413"/>
      <c r="K1102" s="413"/>
      <c r="L1102" s="414"/>
      <c r="M1102" s="5" t="s">
        <v>7</v>
      </c>
      <c r="N1102" s="420">
        <v>0</v>
      </c>
      <c r="O1102" s="421"/>
      <c r="P1102" s="421"/>
      <c r="Q1102" s="422"/>
      <c r="R1102" s="423"/>
      <c r="S1102" s="424"/>
      <c r="T1102" s="424"/>
      <c r="U1102" s="425"/>
    </row>
    <row r="1103" spans="1:21" ht="15.75" thickBot="1">
      <c r="A1103" s="4"/>
      <c r="B1103" s="385" t="s">
        <v>10</v>
      </c>
      <c r="C1103" s="386"/>
      <c r="D1103" s="386"/>
      <c r="E1103" s="386"/>
      <c r="F1103" s="387"/>
      <c r="G1103" s="460" t="s">
        <v>117</v>
      </c>
      <c r="H1103" s="461"/>
      <c r="I1103" s="461"/>
      <c r="J1103" s="461"/>
      <c r="K1103" s="461"/>
      <c r="L1103" s="461"/>
      <c r="M1103" s="461"/>
      <c r="N1103" s="461"/>
      <c r="O1103" s="461"/>
      <c r="P1103" s="461"/>
      <c r="Q1103" s="461"/>
      <c r="R1103" s="461"/>
      <c r="S1103" s="461"/>
      <c r="T1103" s="461"/>
      <c r="U1103" s="462"/>
    </row>
    <row r="1104" spans="1:21" ht="15.75" customHeight="1" thickBot="1">
      <c r="A1104" s="4"/>
      <c r="B1104" s="391" t="s">
        <v>11</v>
      </c>
      <c r="C1104" s="392"/>
      <c r="D1104" s="392"/>
      <c r="E1104" s="392"/>
      <c r="F1104" s="393"/>
      <c r="G1104" s="394" t="s">
        <v>118</v>
      </c>
      <c r="H1104" s="395"/>
      <c r="I1104" s="395"/>
      <c r="J1104" s="395"/>
      <c r="K1104" s="395"/>
      <c r="L1104" s="395"/>
      <c r="M1104" s="395"/>
      <c r="N1104" s="395"/>
      <c r="O1104" s="395"/>
      <c r="P1104" s="395"/>
      <c r="Q1104" s="395"/>
      <c r="R1104" s="395"/>
      <c r="S1104" s="395"/>
      <c r="T1104" s="395"/>
      <c r="U1104" s="396"/>
    </row>
    <row r="1105" spans="1:27" ht="15.75" thickBot="1">
      <c r="B1105" s="397"/>
      <c r="C1105" s="397"/>
      <c r="D1105" s="397"/>
      <c r="E1105" s="397"/>
      <c r="F1105" s="397"/>
      <c r="G1105" s="397"/>
      <c r="H1105" s="397"/>
      <c r="I1105" s="397"/>
      <c r="J1105" s="397"/>
      <c r="K1105" s="397"/>
      <c r="L1105" s="397"/>
      <c r="M1105" s="397"/>
      <c r="N1105" s="397"/>
      <c r="O1105" s="397"/>
      <c r="P1105" s="397"/>
      <c r="Q1105" s="397"/>
      <c r="R1105" s="397"/>
      <c r="S1105" s="397"/>
      <c r="T1105" s="397"/>
      <c r="U1105" s="397"/>
    </row>
    <row r="1106" spans="1:27" ht="16.5" thickBot="1">
      <c r="A1106" s="4"/>
      <c r="B1106" s="306" t="s">
        <v>12</v>
      </c>
      <c r="C1106" s="307"/>
      <c r="D1106" s="308"/>
      <c r="E1106" s="307" t="s">
        <v>13</v>
      </c>
      <c r="F1106" s="308"/>
      <c r="G1106" s="312" t="s">
        <v>14</v>
      </c>
      <c r="H1106" s="313"/>
      <c r="I1106" s="313"/>
      <c r="J1106" s="313"/>
      <c r="K1106" s="313"/>
      <c r="L1106" s="313"/>
      <c r="M1106" s="313"/>
      <c r="N1106" s="313"/>
      <c r="O1106" s="313"/>
      <c r="P1106" s="313"/>
      <c r="Q1106" s="313"/>
      <c r="R1106" s="313"/>
      <c r="S1106" s="313"/>
      <c r="T1106" s="313"/>
      <c r="U1106" s="314"/>
    </row>
    <row r="1107" spans="1:27" ht="15.75" thickBot="1">
      <c r="A1107" s="4"/>
      <c r="B1107" s="309"/>
      <c r="C1107" s="310"/>
      <c r="D1107" s="311"/>
      <c r="E1107" s="310"/>
      <c r="F1107" s="311"/>
      <c r="G1107" s="315" t="s">
        <v>15</v>
      </c>
      <c r="H1107" s="316"/>
      <c r="I1107" s="267" t="s">
        <v>16</v>
      </c>
      <c r="J1107" s="268"/>
      <c r="K1107" s="268"/>
      <c r="L1107" s="268"/>
      <c r="M1107" s="268"/>
      <c r="N1107" s="269"/>
      <c r="O1107" s="403" t="s">
        <v>17</v>
      </c>
      <c r="P1107" s="404"/>
      <c r="Q1107" s="404"/>
      <c r="R1107" s="404"/>
      <c r="S1107" s="404"/>
      <c r="T1107" s="404"/>
      <c r="U1107" s="405"/>
    </row>
    <row r="1108" spans="1:27">
      <c r="A1108" s="4"/>
      <c r="B1108" s="309"/>
      <c r="C1108" s="310"/>
      <c r="D1108" s="311"/>
      <c r="E1108" s="310"/>
      <c r="F1108" s="311"/>
      <c r="G1108" s="317"/>
      <c r="H1108" s="318"/>
      <c r="I1108" s="315" t="s">
        <v>18</v>
      </c>
      <c r="J1108" s="406"/>
      <c r="K1108" s="406"/>
      <c r="L1108" s="315" t="s">
        <v>19</v>
      </c>
      <c r="M1108" s="406"/>
      <c r="N1108" s="316"/>
      <c r="O1108" s="408" t="s">
        <v>18</v>
      </c>
      <c r="P1108" s="409"/>
      <c r="Q1108" s="409"/>
      <c r="R1108" s="315" t="s">
        <v>19</v>
      </c>
      <c r="S1108" s="406"/>
      <c r="T1108" s="406"/>
      <c r="U1108" s="326" t="s">
        <v>20</v>
      </c>
      <c r="V1108" s="200" t="s">
        <v>153</v>
      </c>
      <c r="W1108" s="201"/>
      <c r="X1108" s="200" t="s">
        <v>154</v>
      </c>
      <c r="Y1108" s="201"/>
      <c r="Z1108" s="200" t="s">
        <v>155</v>
      </c>
      <c r="AA1108" s="201"/>
    </row>
    <row r="1109" spans="1:27" ht="15.75" thickBot="1">
      <c r="A1109" s="4"/>
      <c r="B1109" s="398"/>
      <c r="C1109" s="399"/>
      <c r="D1109" s="400"/>
      <c r="E1109" s="399"/>
      <c r="F1109" s="400"/>
      <c r="G1109" s="401"/>
      <c r="H1109" s="402"/>
      <c r="I1109" s="401"/>
      <c r="J1109" s="407"/>
      <c r="K1109" s="407"/>
      <c r="L1109" s="401"/>
      <c r="M1109" s="407"/>
      <c r="N1109" s="402"/>
      <c r="O1109" s="401"/>
      <c r="P1109" s="407"/>
      <c r="Q1109" s="407"/>
      <c r="R1109" s="401"/>
      <c r="S1109" s="407"/>
      <c r="T1109" s="407"/>
      <c r="U1109" s="327"/>
      <c r="V1109" s="202"/>
      <c r="W1109" s="203"/>
      <c r="X1109" s="202"/>
      <c r="Y1109" s="203"/>
      <c r="Z1109" s="202"/>
      <c r="AA1109" s="203"/>
    </row>
    <row r="1110" spans="1:27">
      <c r="A1110" s="4"/>
      <c r="B1110" s="372" t="s">
        <v>59</v>
      </c>
      <c r="C1110" s="373"/>
      <c r="D1110" s="374"/>
      <c r="E1110" s="375"/>
      <c r="F1110" s="376"/>
      <c r="G1110" s="377"/>
      <c r="H1110" s="378"/>
      <c r="I1110" s="379"/>
      <c r="J1110" s="380"/>
      <c r="K1110" s="378"/>
      <c r="L1110" s="381"/>
      <c r="M1110" s="380"/>
      <c r="N1110" s="382"/>
      <c r="O1110" s="383"/>
      <c r="P1110" s="384"/>
      <c r="Q1110" s="384"/>
      <c r="R1110" s="384"/>
      <c r="S1110" s="384"/>
      <c r="T1110" s="384"/>
      <c r="U1110" s="53"/>
    </row>
    <row r="1111" spans="1:27">
      <c r="A1111" s="4"/>
      <c r="B1111" s="354" t="s">
        <v>76</v>
      </c>
      <c r="C1111" s="362"/>
      <c r="D1111" s="363"/>
      <c r="E1111" s="364"/>
      <c r="F1111" s="365"/>
      <c r="G1111" s="366"/>
      <c r="H1111" s="367"/>
      <c r="I1111" s="371"/>
      <c r="J1111" s="370"/>
      <c r="K1111" s="370"/>
      <c r="L1111" s="370"/>
      <c r="M1111" s="370"/>
      <c r="N1111" s="365"/>
      <c r="O1111" s="368"/>
      <c r="P1111" s="369"/>
      <c r="Q1111" s="369"/>
      <c r="R1111" s="369"/>
      <c r="S1111" s="369"/>
      <c r="T1111" s="369"/>
      <c r="U1111" s="150"/>
    </row>
    <row r="1112" spans="1:27">
      <c r="A1112" s="4"/>
      <c r="B1112" s="328" t="s">
        <v>56</v>
      </c>
      <c r="C1112" s="329"/>
      <c r="D1112" s="330"/>
      <c r="E1112" s="331" t="s">
        <v>58</v>
      </c>
      <c r="F1112" s="332"/>
      <c r="G1112" s="348">
        <v>170</v>
      </c>
      <c r="H1112" s="359"/>
      <c r="I1112" s="350">
        <v>0</v>
      </c>
      <c r="J1112" s="351"/>
      <c r="K1112" s="349"/>
      <c r="L1112" s="350">
        <v>0</v>
      </c>
      <c r="M1112" s="351"/>
      <c r="N1112" s="352"/>
      <c r="O1112" s="340">
        <v>170</v>
      </c>
      <c r="P1112" s="341"/>
      <c r="Q1112" s="361"/>
      <c r="R1112" s="360">
        <v>170</v>
      </c>
      <c r="S1112" s="341"/>
      <c r="T1112" s="361"/>
      <c r="U1112" s="6">
        <f t="shared" ref="U1112" si="307">R1112/G1112</f>
        <v>1</v>
      </c>
      <c r="V1112" s="193">
        <f>+I1112+O990</f>
        <v>170</v>
      </c>
      <c r="W1112" s="193">
        <f>+O1112-V1112</f>
        <v>0</v>
      </c>
      <c r="X1112" s="193">
        <f>+L1112+R990</f>
        <v>170</v>
      </c>
      <c r="Y1112" s="193">
        <f>+R1112-X1112</f>
        <v>0</v>
      </c>
      <c r="Z1112" s="195">
        <f>+X1112/G1112</f>
        <v>1</v>
      </c>
      <c r="AA1112" s="194">
        <f>+U1112-Z1112</f>
        <v>0</v>
      </c>
    </row>
    <row r="1113" spans="1:27">
      <c r="A1113" s="4"/>
      <c r="B1113" s="328" t="s">
        <v>57</v>
      </c>
      <c r="C1113" s="329"/>
      <c r="D1113" s="330"/>
      <c r="E1113" s="331" t="s">
        <v>58</v>
      </c>
      <c r="F1113" s="332"/>
      <c r="G1113" s="348">
        <v>4405</v>
      </c>
      <c r="H1113" s="349"/>
      <c r="I1113" s="350">
        <v>446</v>
      </c>
      <c r="J1113" s="351"/>
      <c r="K1113" s="349"/>
      <c r="L1113" s="350">
        <v>446</v>
      </c>
      <c r="M1113" s="351"/>
      <c r="N1113" s="352"/>
      <c r="O1113" s="340">
        <f>340+340+340+417+418+340+340+340+395+446</f>
        <v>3716</v>
      </c>
      <c r="P1113" s="341"/>
      <c r="Q1113" s="361"/>
      <c r="R1113" s="360">
        <f>339+339+338+420+340+268+340+340+395+446</f>
        <v>3565</v>
      </c>
      <c r="S1113" s="341"/>
      <c r="T1113" s="361"/>
      <c r="U1113" s="54">
        <f>R1113/G1113</f>
        <v>0.80930760499432464</v>
      </c>
      <c r="V1113" s="193">
        <f>+I1113+O991</f>
        <v>3716</v>
      </c>
      <c r="W1113" s="193">
        <f>+O1113-V1113</f>
        <v>0</v>
      </c>
      <c r="X1113" s="193">
        <f>+L1113+R991</f>
        <v>3565</v>
      </c>
      <c r="Y1113" s="193">
        <f>+R1113-X1113</f>
        <v>0</v>
      </c>
      <c r="Z1113" s="195">
        <f>+X1113/G1113</f>
        <v>0.80930760499432464</v>
      </c>
      <c r="AA1113" s="194">
        <f>+U1113-Z1113</f>
        <v>0</v>
      </c>
    </row>
    <row r="1114" spans="1:27" ht="15" customHeight="1">
      <c r="A1114" s="4"/>
      <c r="B1114" s="354" t="s">
        <v>77</v>
      </c>
      <c r="C1114" s="362"/>
      <c r="D1114" s="363"/>
      <c r="E1114" s="364"/>
      <c r="F1114" s="365"/>
      <c r="G1114" s="366"/>
      <c r="H1114" s="367"/>
      <c r="I1114" s="371"/>
      <c r="J1114" s="370"/>
      <c r="K1114" s="370"/>
      <c r="L1114" s="370"/>
      <c r="M1114" s="370"/>
      <c r="N1114" s="365"/>
      <c r="O1114" s="368"/>
      <c r="P1114" s="369"/>
      <c r="Q1114" s="369"/>
      <c r="R1114" s="369"/>
      <c r="S1114" s="369"/>
      <c r="T1114" s="369"/>
      <c r="U1114" s="150"/>
    </row>
    <row r="1115" spans="1:27">
      <c r="A1115" s="4"/>
      <c r="B1115" s="328" t="s">
        <v>56</v>
      </c>
      <c r="C1115" s="329"/>
      <c r="D1115" s="330"/>
      <c r="E1115" s="331" t="s">
        <v>58</v>
      </c>
      <c r="F1115" s="332"/>
      <c r="G1115" s="348">
        <v>35</v>
      </c>
      <c r="H1115" s="359"/>
      <c r="I1115" s="350">
        <v>0</v>
      </c>
      <c r="J1115" s="351"/>
      <c r="K1115" s="349"/>
      <c r="L1115" s="350">
        <v>0</v>
      </c>
      <c r="M1115" s="351"/>
      <c r="N1115" s="352"/>
      <c r="O1115" s="340">
        <v>35</v>
      </c>
      <c r="P1115" s="341"/>
      <c r="Q1115" s="361"/>
      <c r="R1115" s="360">
        <v>35</v>
      </c>
      <c r="S1115" s="341"/>
      <c r="T1115" s="361"/>
      <c r="U1115" s="6">
        <f t="shared" ref="U1115" si="308">R1115/G1115</f>
        <v>1</v>
      </c>
      <c r="V1115" s="193">
        <f t="shared" ref="V1115:V1116" si="309">+I1115+O993</f>
        <v>35</v>
      </c>
      <c r="W1115" s="193">
        <f t="shared" ref="W1115:W1116" si="310">+O1115-V1115</f>
        <v>0</v>
      </c>
      <c r="X1115" s="193">
        <f t="shared" ref="X1115:X1116" si="311">+L1115+R993</f>
        <v>35</v>
      </c>
      <c r="Y1115" s="193">
        <f t="shared" ref="Y1115:Y1116" si="312">+R1115-X1115</f>
        <v>0</v>
      </c>
      <c r="Z1115" s="195">
        <f t="shared" ref="Z1115:Z1116" si="313">+X1115/G1115</f>
        <v>1</v>
      </c>
      <c r="AA1115" s="194">
        <f t="shared" ref="AA1115:AA1116" si="314">+U1115-Z1115</f>
        <v>0</v>
      </c>
    </row>
    <row r="1116" spans="1:27">
      <c r="A1116" s="4"/>
      <c r="B1116" s="328" t="s">
        <v>57</v>
      </c>
      <c r="C1116" s="329"/>
      <c r="D1116" s="330"/>
      <c r="E1116" s="331" t="s">
        <v>58</v>
      </c>
      <c r="F1116" s="332"/>
      <c r="G1116" s="348">
        <v>907</v>
      </c>
      <c r="H1116" s="349"/>
      <c r="I1116" s="360">
        <v>89</v>
      </c>
      <c r="J1116" s="341"/>
      <c r="K1116" s="361"/>
      <c r="L1116" s="350">
        <v>89</v>
      </c>
      <c r="M1116" s="351"/>
      <c r="N1116" s="352"/>
      <c r="O1116" s="340">
        <f>70+70+70+88+84+70+70+70+84+89</f>
        <v>765</v>
      </c>
      <c r="P1116" s="341"/>
      <c r="Q1116" s="361"/>
      <c r="R1116" s="360">
        <f>70+70+70+88+69+55+70+70+84+89</f>
        <v>735</v>
      </c>
      <c r="S1116" s="341"/>
      <c r="T1116" s="361"/>
      <c r="U1116" s="54">
        <f>R1116/G1116</f>
        <v>0.81036383682469681</v>
      </c>
      <c r="V1116" s="193">
        <f t="shared" si="309"/>
        <v>765</v>
      </c>
      <c r="W1116" s="193">
        <f t="shared" si="310"/>
        <v>0</v>
      </c>
      <c r="X1116" s="193">
        <f t="shared" si="311"/>
        <v>735</v>
      </c>
      <c r="Y1116" s="193">
        <f t="shared" si="312"/>
        <v>0</v>
      </c>
      <c r="Z1116" s="195">
        <f t="shared" si="313"/>
        <v>0.81036383682469681</v>
      </c>
      <c r="AA1116" s="194">
        <f t="shared" si="314"/>
        <v>0</v>
      </c>
    </row>
    <row r="1117" spans="1:27" ht="15" customHeight="1">
      <c r="A1117" s="4"/>
      <c r="B1117" s="354" t="s">
        <v>78</v>
      </c>
      <c r="C1117" s="362"/>
      <c r="D1117" s="363"/>
      <c r="E1117" s="364"/>
      <c r="F1117" s="365"/>
      <c r="G1117" s="366"/>
      <c r="H1117" s="367"/>
      <c r="I1117" s="368"/>
      <c r="J1117" s="369"/>
      <c r="K1117" s="369"/>
      <c r="L1117" s="370"/>
      <c r="M1117" s="370"/>
      <c r="N1117" s="365"/>
      <c r="O1117" s="368"/>
      <c r="P1117" s="369"/>
      <c r="Q1117" s="369"/>
      <c r="R1117" s="369"/>
      <c r="S1117" s="369"/>
      <c r="T1117" s="369"/>
      <c r="U1117" s="150"/>
    </row>
    <row r="1118" spans="1:27">
      <c r="A1118" s="4"/>
      <c r="B1118" s="328" t="s">
        <v>56</v>
      </c>
      <c r="C1118" s="329"/>
      <c r="D1118" s="330"/>
      <c r="E1118" s="331" t="s">
        <v>58</v>
      </c>
      <c r="F1118" s="332"/>
      <c r="G1118" s="348">
        <v>35</v>
      </c>
      <c r="H1118" s="359"/>
      <c r="I1118" s="360">
        <v>0</v>
      </c>
      <c r="J1118" s="341"/>
      <c r="K1118" s="361"/>
      <c r="L1118" s="350">
        <v>0</v>
      </c>
      <c r="M1118" s="351"/>
      <c r="N1118" s="352"/>
      <c r="O1118" s="340">
        <v>35</v>
      </c>
      <c r="P1118" s="341"/>
      <c r="Q1118" s="361"/>
      <c r="R1118" s="360">
        <v>35</v>
      </c>
      <c r="S1118" s="341"/>
      <c r="T1118" s="361"/>
      <c r="U1118" s="6">
        <f t="shared" ref="U1118" si="315">R1118/G1118</f>
        <v>1</v>
      </c>
      <c r="V1118" s="193">
        <f t="shared" ref="V1118:V1119" si="316">+I1118+O996</f>
        <v>35</v>
      </c>
      <c r="W1118" s="193">
        <f t="shared" ref="W1118:W1119" si="317">+O1118-V1118</f>
        <v>0</v>
      </c>
      <c r="X1118" s="193">
        <f t="shared" ref="X1118:X1119" si="318">+L1118+R996</f>
        <v>35</v>
      </c>
      <c r="Y1118" s="193">
        <f t="shared" ref="Y1118:Y1119" si="319">+R1118-X1118</f>
        <v>0</v>
      </c>
      <c r="Z1118" s="195">
        <f t="shared" ref="Z1118:Z1119" si="320">+X1118/G1118</f>
        <v>1</v>
      </c>
      <c r="AA1118" s="194">
        <f t="shared" ref="AA1118:AA1119" si="321">+U1118-Z1118</f>
        <v>0</v>
      </c>
    </row>
    <row r="1119" spans="1:27">
      <c r="A1119" s="4"/>
      <c r="B1119" s="328" t="s">
        <v>57</v>
      </c>
      <c r="C1119" s="329"/>
      <c r="D1119" s="330"/>
      <c r="E1119" s="331" t="s">
        <v>58</v>
      </c>
      <c r="F1119" s="332"/>
      <c r="G1119" s="348">
        <v>907</v>
      </c>
      <c r="H1119" s="349"/>
      <c r="I1119" s="360">
        <v>88</v>
      </c>
      <c r="J1119" s="341"/>
      <c r="K1119" s="361"/>
      <c r="L1119" s="350">
        <v>89</v>
      </c>
      <c r="M1119" s="351"/>
      <c r="N1119" s="352"/>
      <c r="O1119" s="340">
        <f>70+70+70+88+84+70+70+70+85+88</f>
        <v>765</v>
      </c>
      <c r="P1119" s="341"/>
      <c r="Q1119" s="361"/>
      <c r="R1119" s="360">
        <f>70+70+70+88+69+55+70+70+84+89</f>
        <v>735</v>
      </c>
      <c r="S1119" s="341"/>
      <c r="T1119" s="361"/>
      <c r="U1119" s="54">
        <f>R1119/G1119</f>
        <v>0.81036383682469681</v>
      </c>
      <c r="V1119" s="193">
        <f t="shared" si="316"/>
        <v>765</v>
      </c>
      <c r="W1119" s="193">
        <f t="shared" si="317"/>
        <v>0</v>
      </c>
      <c r="X1119" s="193">
        <f t="shared" si="318"/>
        <v>735</v>
      </c>
      <c r="Y1119" s="193">
        <f t="shared" si="319"/>
        <v>0</v>
      </c>
      <c r="Z1119" s="195">
        <f t="shared" si="320"/>
        <v>0.81036383682469681</v>
      </c>
      <c r="AA1119" s="194">
        <f t="shared" si="321"/>
        <v>0</v>
      </c>
    </row>
    <row r="1120" spans="1:27" ht="15" customHeight="1">
      <c r="A1120" s="4"/>
      <c r="B1120" s="354" t="s">
        <v>79</v>
      </c>
      <c r="C1120" s="362"/>
      <c r="D1120" s="363"/>
      <c r="E1120" s="364"/>
      <c r="F1120" s="365"/>
      <c r="G1120" s="366"/>
      <c r="H1120" s="367"/>
      <c r="I1120" s="368"/>
      <c r="J1120" s="369"/>
      <c r="K1120" s="369"/>
      <c r="L1120" s="370"/>
      <c r="M1120" s="370"/>
      <c r="N1120" s="365"/>
      <c r="O1120" s="368"/>
      <c r="P1120" s="369"/>
      <c r="Q1120" s="369"/>
      <c r="R1120" s="369"/>
      <c r="S1120" s="369"/>
      <c r="T1120" s="369"/>
      <c r="U1120" s="150"/>
    </row>
    <row r="1121" spans="1:27">
      <c r="A1121" s="4"/>
      <c r="B1121" s="328" t="s">
        <v>56</v>
      </c>
      <c r="C1121" s="329"/>
      <c r="D1121" s="330"/>
      <c r="E1121" s="331" t="s">
        <v>58</v>
      </c>
      <c r="F1121" s="332"/>
      <c r="G1121" s="348">
        <v>96</v>
      </c>
      <c r="H1121" s="359"/>
      <c r="I1121" s="360">
        <v>0</v>
      </c>
      <c r="J1121" s="341"/>
      <c r="K1121" s="361"/>
      <c r="L1121" s="350">
        <v>0</v>
      </c>
      <c r="M1121" s="351"/>
      <c r="N1121" s="352"/>
      <c r="O1121" s="340">
        <v>96</v>
      </c>
      <c r="P1121" s="341"/>
      <c r="Q1121" s="361"/>
      <c r="R1121" s="360">
        <v>96</v>
      </c>
      <c r="S1121" s="341"/>
      <c r="T1121" s="361"/>
      <c r="U1121" s="54">
        <f t="shared" ref="U1121" si="322">R1121/G1121</f>
        <v>1</v>
      </c>
      <c r="V1121" s="193">
        <f t="shared" ref="V1121:V1122" si="323">+I1121+O999</f>
        <v>96</v>
      </c>
      <c r="W1121" s="193">
        <f t="shared" ref="W1121:W1122" si="324">+O1121-V1121</f>
        <v>0</v>
      </c>
      <c r="X1121" s="193">
        <f t="shared" ref="X1121:X1122" si="325">+L1121+R999</f>
        <v>96</v>
      </c>
      <c r="Y1121" s="193">
        <f t="shared" ref="Y1121:Y1122" si="326">+R1121-X1121</f>
        <v>0</v>
      </c>
      <c r="Z1121" s="195">
        <f t="shared" ref="Z1121:Z1122" si="327">+X1121/G1121</f>
        <v>1</v>
      </c>
      <c r="AA1121" s="194">
        <f t="shared" ref="AA1121:AA1122" si="328">+U1121-Z1121</f>
        <v>0</v>
      </c>
    </row>
    <row r="1122" spans="1:27">
      <c r="A1122" s="4"/>
      <c r="B1122" s="328" t="s">
        <v>57</v>
      </c>
      <c r="C1122" s="329"/>
      <c r="D1122" s="330"/>
      <c r="E1122" s="331" t="s">
        <v>58</v>
      </c>
      <c r="F1122" s="332"/>
      <c r="G1122" s="348">
        <v>1440</v>
      </c>
      <c r="H1122" s="349"/>
      <c r="I1122" s="360">
        <v>267</v>
      </c>
      <c r="J1122" s="341"/>
      <c r="K1122" s="361"/>
      <c r="L1122" s="350">
        <v>267</v>
      </c>
      <c r="M1122" s="351"/>
      <c r="N1122" s="352"/>
      <c r="O1122" s="340">
        <f>126+258+192+192+192+207+267</f>
        <v>1434</v>
      </c>
      <c r="P1122" s="341"/>
      <c r="Q1122" s="361"/>
      <c r="R1122" s="360">
        <f>126+258+192+192+192+207+267</f>
        <v>1434</v>
      </c>
      <c r="S1122" s="341"/>
      <c r="T1122" s="361"/>
      <c r="U1122" s="54">
        <f>R1122/G1122</f>
        <v>0.99583333333333335</v>
      </c>
      <c r="V1122" s="193">
        <f t="shared" si="323"/>
        <v>1434</v>
      </c>
      <c r="W1122" s="193">
        <f t="shared" si="324"/>
        <v>0</v>
      </c>
      <c r="X1122" s="193">
        <f t="shared" si="325"/>
        <v>1434</v>
      </c>
      <c r="Y1122" s="193">
        <f t="shared" si="326"/>
        <v>0</v>
      </c>
      <c r="Z1122" s="195">
        <f t="shared" si="327"/>
        <v>0.99583333333333335</v>
      </c>
      <c r="AA1122" s="194">
        <f t="shared" si="328"/>
        <v>0</v>
      </c>
    </row>
    <row r="1123" spans="1:27">
      <c r="A1123" s="4"/>
      <c r="B1123" s="354" t="s">
        <v>63</v>
      </c>
      <c r="C1123" s="355"/>
      <c r="D1123" s="356"/>
      <c r="E1123" s="357"/>
      <c r="F1123" s="358"/>
      <c r="G1123" s="348"/>
      <c r="H1123" s="349"/>
      <c r="I1123" s="360"/>
      <c r="J1123" s="341"/>
      <c r="K1123" s="361"/>
      <c r="L1123" s="353"/>
      <c r="M1123" s="351"/>
      <c r="N1123" s="352"/>
      <c r="O1123" s="340"/>
      <c r="P1123" s="341"/>
      <c r="Q1123" s="341"/>
      <c r="R1123" s="341"/>
      <c r="S1123" s="341"/>
      <c r="T1123" s="341"/>
      <c r="U1123" s="6"/>
    </row>
    <row r="1124" spans="1:27">
      <c r="A1124" s="4"/>
      <c r="B1124" s="328" t="s">
        <v>60</v>
      </c>
      <c r="C1124" s="329"/>
      <c r="D1124" s="330"/>
      <c r="E1124" s="331" t="s">
        <v>58</v>
      </c>
      <c r="F1124" s="332"/>
      <c r="G1124" s="348">
        <v>12</v>
      </c>
      <c r="H1124" s="359"/>
      <c r="I1124" s="350">
        <v>2</v>
      </c>
      <c r="J1124" s="351"/>
      <c r="K1124" s="349"/>
      <c r="L1124" s="350">
        <v>2</v>
      </c>
      <c r="M1124" s="351"/>
      <c r="N1124" s="352"/>
      <c r="O1124" s="340">
        <f>2+2+2+2+2</f>
        <v>10</v>
      </c>
      <c r="P1124" s="341"/>
      <c r="Q1124" s="361"/>
      <c r="R1124" s="360">
        <f>2+2+2+2+2</f>
        <v>10</v>
      </c>
      <c r="S1124" s="341"/>
      <c r="T1124" s="361"/>
      <c r="U1124" s="54">
        <f>R1124/G1124</f>
        <v>0.83333333333333337</v>
      </c>
      <c r="V1124" s="193">
        <f>+I1124+O1002</f>
        <v>10</v>
      </c>
      <c r="W1124" s="193">
        <f>+O1124-V1124</f>
        <v>0</v>
      </c>
      <c r="X1124" s="193">
        <f>+L1124+R1002</f>
        <v>10</v>
      </c>
      <c r="Y1124" s="193">
        <f>+R1124-X1124</f>
        <v>0</v>
      </c>
      <c r="Z1124" s="195">
        <f>+X1124/G1124</f>
        <v>0.83333333333333337</v>
      </c>
      <c r="AA1124" s="194">
        <f>+U1124-Z1124</f>
        <v>0</v>
      </c>
    </row>
    <row r="1125" spans="1:27">
      <c r="A1125" s="4"/>
      <c r="B1125" s="354" t="s">
        <v>61</v>
      </c>
      <c r="C1125" s="355"/>
      <c r="D1125" s="356"/>
      <c r="E1125" s="357"/>
      <c r="F1125" s="358"/>
      <c r="G1125" s="348"/>
      <c r="H1125" s="349"/>
      <c r="I1125" s="350"/>
      <c r="J1125" s="351"/>
      <c r="K1125" s="349"/>
      <c r="L1125" s="353"/>
      <c r="M1125" s="351"/>
      <c r="N1125" s="352"/>
      <c r="O1125" s="340"/>
      <c r="P1125" s="341"/>
      <c r="Q1125" s="341"/>
      <c r="R1125" s="341"/>
      <c r="S1125" s="341"/>
      <c r="T1125" s="341"/>
      <c r="U1125" s="6"/>
    </row>
    <row r="1126" spans="1:27" ht="15" customHeight="1">
      <c r="A1126" s="4"/>
      <c r="B1126" s="328" t="s">
        <v>61</v>
      </c>
      <c r="C1126" s="329"/>
      <c r="D1126" s="330"/>
      <c r="E1126" s="331" t="s">
        <v>58</v>
      </c>
      <c r="F1126" s="332"/>
      <c r="G1126" s="348">
        <v>15</v>
      </c>
      <c r="H1126" s="349"/>
      <c r="I1126" s="350">
        <v>0</v>
      </c>
      <c r="J1126" s="351"/>
      <c r="K1126" s="349"/>
      <c r="L1126" s="350">
        <v>0</v>
      </c>
      <c r="M1126" s="351"/>
      <c r="N1126" s="352"/>
      <c r="O1126" s="340">
        <f>5+5+0+0</f>
        <v>10</v>
      </c>
      <c r="P1126" s="341"/>
      <c r="Q1126" s="361"/>
      <c r="R1126" s="360">
        <f>0+5+0+5+0</f>
        <v>10</v>
      </c>
      <c r="S1126" s="341"/>
      <c r="T1126" s="361"/>
      <c r="U1126" s="54">
        <f>R1126/G1126</f>
        <v>0.66666666666666663</v>
      </c>
      <c r="V1126" s="193">
        <f>+I1126+O1004</f>
        <v>10</v>
      </c>
      <c r="W1126" s="193">
        <f>+O1126-V1126</f>
        <v>0</v>
      </c>
      <c r="X1126" s="193">
        <f>+L1126+R1004</f>
        <v>10</v>
      </c>
      <c r="Y1126" s="193">
        <f>+R1126-X1126</f>
        <v>0</v>
      </c>
      <c r="Z1126" s="195">
        <f>+X1126/G1126</f>
        <v>0.66666666666666663</v>
      </c>
      <c r="AA1126" s="194">
        <f>+U1126-Z1126</f>
        <v>0</v>
      </c>
    </row>
    <row r="1127" spans="1:27" ht="15" customHeight="1">
      <c r="A1127" s="4"/>
      <c r="B1127" s="354" t="s">
        <v>62</v>
      </c>
      <c r="C1127" s="355"/>
      <c r="D1127" s="356"/>
      <c r="E1127" s="357"/>
      <c r="F1127" s="358"/>
      <c r="G1127" s="348"/>
      <c r="H1127" s="349"/>
      <c r="I1127" s="350"/>
      <c r="J1127" s="351"/>
      <c r="K1127" s="349"/>
      <c r="L1127" s="353"/>
      <c r="M1127" s="351"/>
      <c r="N1127" s="352"/>
      <c r="O1127" s="340"/>
      <c r="P1127" s="341"/>
      <c r="Q1127" s="341"/>
      <c r="R1127" s="341"/>
      <c r="S1127" s="341"/>
      <c r="T1127" s="341"/>
      <c r="U1127" s="6"/>
    </row>
    <row r="1128" spans="1:27" ht="15" customHeight="1" thickBot="1">
      <c r="A1128" s="4"/>
      <c r="B1128" s="328" t="s">
        <v>62</v>
      </c>
      <c r="C1128" s="329"/>
      <c r="D1128" s="330"/>
      <c r="E1128" s="331" t="s">
        <v>58</v>
      </c>
      <c r="F1128" s="332"/>
      <c r="G1128" s="333">
        <v>1</v>
      </c>
      <c r="H1128" s="334"/>
      <c r="I1128" s="335">
        <v>0</v>
      </c>
      <c r="J1128" s="336"/>
      <c r="K1128" s="334"/>
      <c r="L1128" s="458">
        <v>1</v>
      </c>
      <c r="M1128" s="336"/>
      <c r="N1128" s="459"/>
      <c r="O1128" s="340">
        <v>0</v>
      </c>
      <c r="P1128" s="341"/>
      <c r="Q1128" s="341"/>
      <c r="R1128" s="341">
        <v>1</v>
      </c>
      <c r="S1128" s="341"/>
      <c r="T1128" s="341"/>
      <c r="U1128" s="54">
        <f>R1128/G1128</f>
        <v>1</v>
      </c>
      <c r="V1128" s="193">
        <f>+I1128+O1006</f>
        <v>0</v>
      </c>
      <c r="W1128" s="193">
        <f>+O1128-V1128</f>
        <v>0</v>
      </c>
      <c r="X1128" s="193">
        <f>+L1128+R1006</f>
        <v>1</v>
      </c>
      <c r="Y1128" s="193">
        <f>+R1128-X1128</f>
        <v>0</v>
      </c>
      <c r="Z1128" s="195">
        <f>+X1128/G1128</f>
        <v>1</v>
      </c>
      <c r="AA1128" s="194">
        <f>+U1128-Z1128</f>
        <v>0</v>
      </c>
    </row>
    <row r="1129" spans="1:27" ht="15.75" thickBot="1">
      <c r="A1129" s="4"/>
      <c r="B1129" s="342" t="s">
        <v>21</v>
      </c>
      <c r="C1129" s="343"/>
      <c r="D1129" s="343"/>
      <c r="E1129" s="343"/>
      <c r="F1129" s="344"/>
      <c r="G1129" s="345"/>
      <c r="H1129" s="346"/>
      <c r="I1129" s="346"/>
      <c r="J1129" s="346"/>
      <c r="K1129" s="346"/>
      <c r="L1129" s="346"/>
      <c r="M1129" s="346"/>
      <c r="N1129" s="347"/>
      <c r="O1129" s="345"/>
      <c r="P1129" s="346"/>
      <c r="Q1129" s="346"/>
      <c r="R1129" s="346"/>
      <c r="S1129" s="346"/>
      <c r="T1129" s="346"/>
      <c r="U1129" s="347"/>
    </row>
    <row r="1130" spans="1:27" ht="15.75" thickBot="1">
      <c r="B1130" s="7"/>
      <c r="C1130" s="8"/>
      <c r="D1130" s="9"/>
      <c r="E1130" s="10"/>
      <c r="F1130" s="11"/>
      <c r="G1130" s="12"/>
      <c r="H1130" s="13"/>
      <c r="I1130" s="14"/>
      <c r="J1130" s="14"/>
      <c r="K1130" s="15"/>
      <c r="L1130" s="14"/>
      <c r="M1130" s="15"/>
      <c r="N1130" s="14"/>
      <c r="O1130" s="14"/>
      <c r="P1130" s="14"/>
      <c r="Q1130" s="14"/>
      <c r="R1130" s="15"/>
      <c r="S1130" s="14"/>
      <c r="T1130" s="12"/>
      <c r="U1130" s="14"/>
    </row>
    <row r="1131" spans="1:27" ht="16.5" customHeight="1" thickBot="1">
      <c r="A1131" s="4"/>
      <c r="B1131" s="306" t="s">
        <v>22</v>
      </c>
      <c r="C1131" s="307"/>
      <c r="D1131" s="307"/>
      <c r="E1131" s="307"/>
      <c r="F1131" s="308"/>
      <c r="G1131" s="312" t="s">
        <v>129</v>
      </c>
      <c r="H1131" s="313"/>
      <c r="I1131" s="313"/>
      <c r="J1131" s="313"/>
      <c r="K1131" s="313"/>
      <c r="L1131" s="313"/>
      <c r="M1131" s="313"/>
      <c r="N1131" s="313"/>
      <c r="O1131" s="313"/>
      <c r="P1131" s="313"/>
      <c r="Q1131" s="313"/>
      <c r="R1131" s="313"/>
      <c r="S1131" s="313"/>
      <c r="T1131" s="313"/>
      <c r="U1131" s="314"/>
    </row>
    <row r="1132" spans="1:27" ht="15.75" thickBot="1">
      <c r="A1132" s="4"/>
      <c r="B1132" s="309"/>
      <c r="C1132" s="310"/>
      <c r="D1132" s="310"/>
      <c r="E1132" s="310"/>
      <c r="F1132" s="311"/>
      <c r="G1132" s="315" t="s">
        <v>24</v>
      </c>
      <c r="H1132" s="316"/>
      <c r="I1132" s="310" t="s">
        <v>16</v>
      </c>
      <c r="J1132" s="310"/>
      <c r="K1132" s="310"/>
      <c r="L1132" s="310"/>
      <c r="M1132" s="310"/>
      <c r="N1132" s="311"/>
      <c r="O1132" s="321" t="s">
        <v>17</v>
      </c>
      <c r="P1132" s="322"/>
      <c r="Q1132" s="322"/>
      <c r="R1132" s="322"/>
      <c r="S1132" s="322"/>
      <c r="T1132" s="322"/>
      <c r="U1132" s="323"/>
    </row>
    <row r="1133" spans="1:27" ht="15.75" customHeight="1" thickBot="1">
      <c r="A1133" s="4"/>
      <c r="B1133" s="309"/>
      <c r="C1133" s="310"/>
      <c r="D1133" s="310"/>
      <c r="E1133" s="310"/>
      <c r="F1133" s="311"/>
      <c r="G1133" s="317"/>
      <c r="H1133" s="318"/>
      <c r="I1133" s="267" t="s">
        <v>18</v>
      </c>
      <c r="J1133" s="268"/>
      <c r="K1133" s="269"/>
      <c r="L1133" s="267" t="s">
        <v>25</v>
      </c>
      <c r="M1133" s="268"/>
      <c r="N1133" s="269"/>
      <c r="O1133" s="267" t="s">
        <v>18</v>
      </c>
      <c r="P1133" s="268"/>
      <c r="Q1133" s="324"/>
      <c r="R1133" s="325" t="s">
        <v>25</v>
      </c>
      <c r="S1133" s="268"/>
      <c r="T1133" s="269"/>
      <c r="U1133" s="326" t="s">
        <v>20</v>
      </c>
      <c r="V1133" s="200" t="s">
        <v>153</v>
      </c>
      <c r="W1133" s="201"/>
      <c r="X1133" s="200" t="s">
        <v>154</v>
      </c>
      <c r="Y1133" s="201"/>
      <c r="Z1133" s="200" t="s">
        <v>155</v>
      </c>
      <c r="AA1133" s="201"/>
    </row>
    <row r="1134" spans="1:27" ht="25.5" customHeight="1" thickBot="1">
      <c r="A1134" s="4"/>
      <c r="B1134" s="309"/>
      <c r="C1134" s="310"/>
      <c r="D1134" s="310"/>
      <c r="E1134" s="310"/>
      <c r="F1134" s="311"/>
      <c r="G1134" s="319"/>
      <c r="H1134" s="320"/>
      <c r="I1134" s="147" t="s">
        <v>26</v>
      </c>
      <c r="J1134" s="149" t="s">
        <v>27</v>
      </c>
      <c r="K1134" s="149" t="s">
        <v>28</v>
      </c>
      <c r="L1134" s="147" t="s">
        <v>26</v>
      </c>
      <c r="M1134" s="149" t="s">
        <v>27</v>
      </c>
      <c r="N1134" s="148" t="s">
        <v>28</v>
      </c>
      <c r="O1134" s="19" t="s">
        <v>26</v>
      </c>
      <c r="P1134" s="147" t="s">
        <v>27</v>
      </c>
      <c r="Q1134" s="20" t="s">
        <v>28</v>
      </c>
      <c r="R1134" s="21" t="s">
        <v>26</v>
      </c>
      <c r="S1134" s="146" t="s">
        <v>27</v>
      </c>
      <c r="T1134" s="149" t="s">
        <v>28</v>
      </c>
      <c r="U1134" s="327"/>
      <c r="V1134" s="202"/>
      <c r="W1134" s="203"/>
      <c r="X1134" s="202"/>
      <c r="Y1134" s="203"/>
      <c r="Z1134" s="202"/>
      <c r="AA1134" s="203"/>
    </row>
    <row r="1135" spans="1:27" ht="15.75" thickBot="1">
      <c r="A1135" s="4"/>
      <c r="B1135" s="302" t="s">
        <v>29</v>
      </c>
      <c r="C1135" s="303"/>
      <c r="D1135" s="303"/>
      <c r="E1135" s="303"/>
      <c r="F1135" s="303"/>
      <c r="G1135" s="303"/>
      <c r="H1135" s="303"/>
      <c r="I1135" s="303"/>
      <c r="J1135" s="303"/>
      <c r="K1135" s="303"/>
      <c r="L1135" s="303"/>
      <c r="M1135" s="303"/>
      <c r="N1135" s="303"/>
      <c r="O1135" s="303"/>
      <c r="P1135" s="303"/>
      <c r="Q1135" s="303"/>
      <c r="R1135" s="303"/>
      <c r="S1135" s="303"/>
      <c r="T1135" s="303"/>
      <c r="U1135" s="304"/>
    </row>
    <row r="1136" spans="1:27" s="40" customFormat="1" ht="15.75" customHeight="1">
      <c r="A1136" s="152"/>
      <c r="B1136" s="287" t="s">
        <v>82</v>
      </c>
      <c r="C1136" s="288"/>
      <c r="D1136" s="288"/>
      <c r="E1136" s="288"/>
      <c r="F1136" s="289"/>
      <c r="G1136" s="290">
        <v>1908</v>
      </c>
      <c r="H1136" s="305"/>
      <c r="I1136" s="158">
        <v>0</v>
      </c>
      <c r="J1136" s="141">
        <v>0</v>
      </c>
      <c r="K1136" s="141">
        <v>0</v>
      </c>
      <c r="L1136" s="141">
        <v>0</v>
      </c>
      <c r="M1136" s="141">
        <v>0</v>
      </c>
      <c r="N1136" s="141">
        <v>0</v>
      </c>
      <c r="O1136" s="141">
        <v>1908</v>
      </c>
      <c r="P1136" s="141">
        <v>0</v>
      </c>
      <c r="Q1136" s="154">
        <v>0</v>
      </c>
      <c r="R1136" s="141">
        <v>0</v>
      </c>
      <c r="S1136" s="141">
        <v>0</v>
      </c>
      <c r="T1136" s="154">
        <v>0</v>
      </c>
      <c r="U1136" s="155">
        <f>R1136/G1136</f>
        <v>0</v>
      </c>
      <c r="V1136" s="128">
        <f>+I1136+O1014</f>
        <v>1908</v>
      </c>
      <c r="W1136" s="128">
        <f>+O1136-V1136</f>
        <v>0</v>
      </c>
      <c r="X1136" s="128">
        <f>+L1136+R1014</f>
        <v>0</v>
      </c>
      <c r="Y1136" s="128">
        <f>+R1136-X1136</f>
        <v>0</v>
      </c>
      <c r="Z1136" s="195">
        <f>+X1136/G1136</f>
        <v>0</v>
      </c>
      <c r="AA1136" s="194">
        <f>+U1136-Z1136</f>
        <v>0</v>
      </c>
    </row>
    <row r="1137" spans="1:27" s="40" customFormat="1">
      <c r="A1137" s="152"/>
      <c r="B1137" s="274" t="s">
        <v>83</v>
      </c>
      <c r="C1137" s="275"/>
      <c r="D1137" s="275"/>
      <c r="E1137" s="275"/>
      <c r="F1137" s="276"/>
      <c r="G1137" s="277">
        <v>9000</v>
      </c>
      <c r="H1137" s="292"/>
      <c r="I1137" s="142">
        <v>3000</v>
      </c>
      <c r="J1137" s="117">
        <v>0</v>
      </c>
      <c r="K1137" s="117">
        <v>0</v>
      </c>
      <c r="L1137" s="117">
        <v>4647.1099999999997</v>
      </c>
      <c r="M1137" s="117">
        <v>0</v>
      </c>
      <c r="N1137" s="117">
        <v>0</v>
      </c>
      <c r="O1137" s="117">
        <f>0+0+0+0+3000+0+3000+0+0+3000</f>
        <v>9000</v>
      </c>
      <c r="P1137" s="117">
        <v>0</v>
      </c>
      <c r="Q1137" s="117">
        <v>0</v>
      </c>
      <c r="R1137" s="117">
        <f>0+0+0+0+0+0+0+4242.4+0+4647.11</f>
        <v>8889.5099999999984</v>
      </c>
      <c r="S1137" s="117">
        <v>0</v>
      </c>
      <c r="T1137" s="117">
        <v>0</v>
      </c>
      <c r="U1137" s="153">
        <f>R1137/G1137</f>
        <v>0.98772333333333318</v>
      </c>
      <c r="V1137" s="128">
        <f t="shared" ref="V1137:V1156" si="329">+I1137+O1015</f>
        <v>9000</v>
      </c>
      <c r="W1137" s="128">
        <f t="shared" ref="W1137:W1156" si="330">+O1137-V1137</f>
        <v>0</v>
      </c>
      <c r="X1137" s="128">
        <f t="shared" ref="X1137:X1156" si="331">+L1137+R1015</f>
        <v>8889.5099999999984</v>
      </c>
      <c r="Y1137" s="128">
        <f t="shared" ref="Y1137:Y1156" si="332">+R1137-X1137</f>
        <v>0</v>
      </c>
      <c r="Z1137" s="195">
        <f t="shared" ref="Z1137:Z1156" si="333">+X1137/G1137</f>
        <v>0.98772333333333318</v>
      </c>
      <c r="AA1137" s="194">
        <f t="shared" ref="AA1137:AA1156" si="334">+U1137-Z1137</f>
        <v>0</v>
      </c>
    </row>
    <row r="1138" spans="1:27" s="40" customFormat="1">
      <c r="A1138" s="166"/>
      <c r="B1138" s="274" t="s">
        <v>84</v>
      </c>
      <c r="C1138" s="275"/>
      <c r="D1138" s="275"/>
      <c r="E1138" s="275"/>
      <c r="F1138" s="276"/>
      <c r="G1138" s="277">
        <v>15000</v>
      </c>
      <c r="H1138" s="292"/>
      <c r="I1138" s="142">
        <v>0</v>
      </c>
      <c r="J1138" s="117">
        <v>0</v>
      </c>
      <c r="K1138" s="117">
        <v>0</v>
      </c>
      <c r="L1138" s="117">
        <v>6990</v>
      </c>
      <c r="M1138" s="117">
        <v>0</v>
      </c>
      <c r="N1138" s="117">
        <v>0</v>
      </c>
      <c r="O1138" s="117">
        <f>15000</f>
        <v>15000</v>
      </c>
      <c r="P1138" s="117">
        <v>0</v>
      </c>
      <c r="Q1138" s="117">
        <v>0</v>
      </c>
      <c r="R1138" s="117">
        <f>6990</f>
        <v>6990</v>
      </c>
      <c r="S1138" s="117">
        <v>0</v>
      </c>
      <c r="T1138" s="117">
        <v>0</v>
      </c>
      <c r="U1138" s="153">
        <f>R1138/G1138</f>
        <v>0.46600000000000003</v>
      </c>
      <c r="V1138" s="128">
        <f t="shared" si="329"/>
        <v>15000</v>
      </c>
      <c r="W1138" s="128">
        <f t="shared" si="330"/>
        <v>0</v>
      </c>
      <c r="X1138" s="128">
        <f t="shared" si="331"/>
        <v>6990</v>
      </c>
      <c r="Y1138" s="128">
        <f t="shared" si="332"/>
        <v>0</v>
      </c>
      <c r="Z1138" s="195">
        <f t="shared" si="333"/>
        <v>0.46600000000000003</v>
      </c>
      <c r="AA1138" s="194">
        <f t="shared" si="334"/>
        <v>0</v>
      </c>
    </row>
    <row r="1139" spans="1:27" s="40" customFormat="1">
      <c r="A1139" s="152"/>
      <c r="B1139" s="274" t="s">
        <v>85</v>
      </c>
      <c r="C1139" s="275"/>
      <c r="D1139" s="275"/>
      <c r="E1139" s="275"/>
      <c r="F1139" s="276"/>
      <c r="G1139" s="277">
        <v>2000</v>
      </c>
      <c r="H1139" s="292"/>
      <c r="I1139" s="142">
        <v>0</v>
      </c>
      <c r="J1139" s="117">
        <v>0</v>
      </c>
      <c r="K1139" s="117">
        <v>0</v>
      </c>
      <c r="L1139" s="117">
        <v>0</v>
      </c>
      <c r="M1139" s="117">
        <v>0</v>
      </c>
      <c r="N1139" s="117">
        <v>0</v>
      </c>
      <c r="O1139" s="117">
        <v>2000</v>
      </c>
      <c r="P1139" s="117">
        <v>0</v>
      </c>
      <c r="Q1139" s="117">
        <v>0</v>
      </c>
      <c r="R1139" s="117">
        <v>2000</v>
      </c>
      <c r="S1139" s="117">
        <v>0</v>
      </c>
      <c r="T1139" s="117">
        <v>0</v>
      </c>
      <c r="U1139" s="153">
        <f>R1139/G1139</f>
        <v>1</v>
      </c>
      <c r="V1139" s="128">
        <f t="shared" si="329"/>
        <v>2000</v>
      </c>
      <c r="W1139" s="128">
        <f t="shared" si="330"/>
        <v>0</v>
      </c>
      <c r="X1139" s="128">
        <f t="shared" si="331"/>
        <v>2000</v>
      </c>
      <c r="Y1139" s="128">
        <f t="shared" si="332"/>
        <v>0</v>
      </c>
      <c r="Z1139" s="195">
        <f t="shared" si="333"/>
        <v>1</v>
      </c>
      <c r="AA1139" s="194">
        <f t="shared" si="334"/>
        <v>0</v>
      </c>
    </row>
    <row r="1140" spans="1:27" s="40" customFormat="1">
      <c r="A1140" s="152"/>
      <c r="B1140" s="274" t="s">
        <v>119</v>
      </c>
      <c r="C1140" s="275"/>
      <c r="D1140" s="275"/>
      <c r="E1140" s="275"/>
      <c r="F1140" s="276"/>
      <c r="G1140" s="277">
        <v>198000</v>
      </c>
      <c r="H1140" s="292"/>
      <c r="I1140" s="142">
        <v>16500</v>
      </c>
      <c r="J1140" s="117">
        <v>0</v>
      </c>
      <c r="K1140" s="117">
        <v>0</v>
      </c>
      <c r="L1140" s="117">
        <v>2380.2199999999998</v>
      </c>
      <c r="M1140" s="117">
        <v>0</v>
      </c>
      <c r="N1140" s="117">
        <v>0</v>
      </c>
      <c r="O1140" s="117">
        <f>16500+16500+16500+16500+16500+16500+16500+16500+16500+16500</f>
        <v>165000</v>
      </c>
      <c r="P1140" s="117">
        <v>0</v>
      </c>
      <c r="Q1140" s="117">
        <v>0</v>
      </c>
      <c r="R1140" s="117">
        <f>0+0+0+5000+2500+5000+64350.4+20000+53800.17+2380.22</f>
        <v>153030.79</v>
      </c>
      <c r="S1140" s="117">
        <v>0</v>
      </c>
      <c r="T1140" s="117">
        <v>0</v>
      </c>
      <c r="U1140" s="153">
        <f>R1140/G1140</f>
        <v>0.77288277777777781</v>
      </c>
      <c r="V1140" s="128">
        <f t="shared" si="329"/>
        <v>165000</v>
      </c>
      <c r="W1140" s="128">
        <f t="shared" si="330"/>
        <v>0</v>
      </c>
      <c r="X1140" s="128">
        <f t="shared" si="331"/>
        <v>153030.79</v>
      </c>
      <c r="Y1140" s="128">
        <f t="shared" si="332"/>
        <v>0</v>
      </c>
      <c r="Z1140" s="195">
        <f t="shared" si="333"/>
        <v>0.77288277777777781</v>
      </c>
      <c r="AA1140" s="194">
        <f t="shared" si="334"/>
        <v>0</v>
      </c>
    </row>
    <row r="1141" spans="1:27" s="40" customFormat="1">
      <c r="A1141" s="152"/>
      <c r="B1141" s="274" t="s">
        <v>130</v>
      </c>
      <c r="C1141" s="275"/>
      <c r="D1141" s="275"/>
      <c r="E1141" s="275"/>
      <c r="F1141" s="276"/>
      <c r="G1141" s="277">
        <v>13000</v>
      </c>
      <c r="H1141" s="292"/>
      <c r="I1141" s="142">
        <v>0</v>
      </c>
      <c r="J1141" s="117">
        <v>0</v>
      </c>
      <c r="K1141" s="117">
        <v>0</v>
      </c>
      <c r="L1141" s="117">
        <v>0</v>
      </c>
      <c r="M1141" s="117">
        <v>0</v>
      </c>
      <c r="N1141" s="117">
        <v>0</v>
      </c>
      <c r="O1141" s="117">
        <v>0</v>
      </c>
      <c r="P1141" s="117">
        <v>0</v>
      </c>
      <c r="Q1141" s="117">
        <v>0</v>
      </c>
      <c r="R1141" s="117">
        <v>0</v>
      </c>
      <c r="S1141" s="117">
        <v>0</v>
      </c>
      <c r="T1141" s="117">
        <v>0</v>
      </c>
      <c r="U1141" s="153">
        <f t="shared" ref="U1141:U1150" si="335">R1141/G1141</f>
        <v>0</v>
      </c>
      <c r="V1141" s="128">
        <f t="shared" si="329"/>
        <v>0</v>
      </c>
      <c r="W1141" s="128">
        <f t="shared" si="330"/>
        <v>0</v>
      </c>
      <c r="X1141" s="128">
        <f t="shared" si="331"/>
        <v>0</v>
      </c>
      <c r="Y1141" s="128">
        <f t="shared" si="332"/>
        <v>0</v>
      </c>
      <c r="Z1141" s="195">
        <f t="shared" si="333"/>
        <v>0</v>
      </c>
      <c r="AA1141" s="194">
        <f t="shared" si="334"/>
        <v>0</v>
      </c>
    </row>
    <row r="1142" spans="1:27" s="40" customFormat="1">
      <c r="A1142" s="152"/>
      <c r="B1142" s="274" t="s">
        <v>86</v>
      </c>
      <c r="C1142" s="275"/>
      <c r="D1142" s="275"/>
      <c r="E1142" s="275"/>
      <c r="F1142" s="276"/>
      <c r="G1142" s="277">
        <v>30000</v>
      </c>
      <c r="H1142" s="292"/>
      <c r="I1142" s="142">
        <v>0</v>
      </c>
      <c r="J1142" s="117">
        <v>0</v>
      </c>
      <c r="K1142" s="117">
        <v>0</v>
      </c>
      <c r="L1142" s="117">
        <v>9200</v>
      </c>
      <c r="M1142" s="117">
        <v>0</v>
      </c>
      <c r="N1142" s="117">
        <v>0</v>
      </c>
      <c r="O1142" s="117">
        <f>30000</f>
        <v>30000</v>
      </c>
      <c r="P1142" s="117">
        <v>0</v>
      </c>
      <c r="Q1142" s="117">
        <v>0</v>
      </c>
      <c r="R1142" s="117">
        <f>9200</f>
        <v>9200</v>
      </c>
      <c r="S1142" s="117">
        <v>0</v>
      </c>
      <c r="T1142" s="117">
        <v>0</v>
      </c>
      <c r="U1142" s="153">
        <f t="shared" si="335"/>
        <v>0.30666666666666664</v>
      </c>
      <c r="V1142" s="128">
        <f t="shared" si="329"/>
        <v>30000</v>
      </c>
      <c r="W1142" s="128">
        <f t="shared" si="330"/>
        <v>0</v>
      </c>
      <c r="X1142" s="128">
        <f t="shared" si="331"/>
        <v>9200</v>
      </c>
      <c r="Y1142" s="128">
        <f t="shared" si="332"/>
        <v>0</v>
      </c>
      <c r="Z1142" s="195">
        <f t="shared" si="333"/>
        <v>0.30666666666666664</v>
      </c>
      <c r="AA1142" s="194">
        <f t="shared" si="334"/>
        <v>0</v>
      </c>
    </row>
    <row r="1143" spans="1:27" s="40" customFormat="1">
      <c r="A1143" s="152"/>
      <c r="B1143" s="274" t="s">
        <v>88</v>
      </c>
      <c r="C1143" s="275"/>
      <c r="D1143" s="275"/>
      <c r="E1143" s="275"/>
      <c r="F1143" s="276"/>
      <c r="G1143" s="277">
        <v>5800</v>
      </c>
      <c r="H1143" s="292"/>
      <c r="I1143" s="142">
        <v>0</v>
      </c>
      <c r="J1143" s="117">
        <v>0</v>
      </c>
      <c r="K1143" s="117">
        <v>0</v>
      </c>
      <c r="L1143" s="117">
        <v>0</v>
      </c>
      <c r="M1143" s="117">
        <v>0</v>
      </c>
      <c r="N1143" s="117">
        <v>0</v>
      </c>
      <c r="O1143" s="117">
        <f>2900+2900</f>
        <v>5800</v>
      </c>
      <c r="P1143" s="117">
        <v>0</v>
      </c>
      <c r="Q1143" s="117">
        <v>0</v>
      </c>
      <c r="R1143" s="117">
        <v>5800</v>
      </c>
      <c r="S1143" s="117">
        <v>0</v>
      </c>
      <c r="T1143" s="117">
        <v>0</v>
      </c>
      <c r="U1143" s="153">
        <f t="shared" si="335"/>
        <v>1</v>
      </c>
      <c r="V1143" s="128">
        <f t="shared" si="329"/>
        <v>5800</v>
      </c>
      <c r="W1143" s="128">
        <f t="shared" si="330"/>
        <v>0</v>
      </c>
      <c r="X1143" s="128">
        <f t="shared" si="331"/>
        <v>5800</v>
      </c>
      <c r="Y1143" s="128">
        <f t="shared" si="332"/>
        <v>0</v>
      </c>
      <c r="Z1143" s="195">
        <f t="shared" si="333"/>
        <v>1</v>
      </c>
      <c r="AA1143" s="194">
        <f t="shared" si="334"/>
        <v>0</v>
      </c>
    </row>
    <row r="1144" spans="1:27" s="40" customFormat="1">
      <c r="A1144" s="152"/>
      <c r="B1144" s="274" t="s">
        <v>131</v>
      </c>
      <c r="C1144" s="275"/>
      <c r="D1144" s="275"/>
      <c r="E1144" s="275"/>
      <c r="F1144" s="276"/>
      <c r="G1144" s="277">
        <v>40000</v>
      </c>
      <c r="H1144" s="292"/>
      <c r="I1144" s="142">
        <v>0</v>
      </c>
      <c r="J1144" s="117">
        <v>0</v>
      </c>
      <c r="K1144" s="117">
        <v>0</v>
      </c>
      <c r="L1144" s="117">
        <v>6554</v>
      </c>
      <c r="M1144" s="117">
        <v>0</v>
      </c>
      <c r="N1144" s="117">
        <v>0</v>
      </c>
      <c r="O1144" s="117">
        <f>8000+8000+8000</f>
        <v>24000</v>
      </c>
      <c r="P1144" s="117">
        <v>0</v>
      </c>
      <c r="Q1144" s="117">
        <v>0</v>
      </c>
      <c r="R1144" s="117">
        <f>0+0+0+0+0+0+4176+5684+6754.68+6554</f>
        <v>23168.68</v>
      </c>
      <c r="S1144" s="117">
        <v>0</v>
      </c>
      <c r="T1144" s="117">
        <v>0</v>
      </c>
      <c r="U1144" s="153">
        <f t="shared" si="335"/>
        <v>0.57921699999999998</v>
      </c>
      <c r="V1144" s="128">
        <f t="shared" si="329"/>
        <v>24000</v>
      </c>
      <c r="W1144" s="128">
        <f t="shared" si="330"/>
        <v>0</v>
      </c>
      <c r="X1144" s="128">
        <f t="shared" si="331"/>
        <v>23168.68</v>
      </c>
      <c r="Y1144" s="128">
        <f t="shared" si="332"/>
        <v>0</v>
      </c>
      <c r="Z1144" s="195">
        <f t="shared" si="333"/>
        <v>0.57921699999999998</v>
      </c>
      <c r="AA1144" s="194">
        <f t="shared" si="334"/>
        <v>0</v>
      </c>
    </row>
    <row r="1145" spans="1:27" s="40" customFormat="1">
      <c r="A1145" s="152"/>
      <c r="B1145" s="274" t="s">
        <v>87</v>
      </c>
      <c r="C1145" s="275"/>
      <c r="D1145" s="275"/>
      <c r="E1145" s="275"/>
      <c r="F1145" s="276"/>
      <c r="G1145" s="277">
        <v>9000</v>
      </c>
      <c r="H1145" s="292"/>
      <c r="I1145" s="142">
        <v>0</v>
      </c>
      <c r="J1145" s="117">
        <v>0</v>
      </c>
      <c r="K1145" s="117">
        <v>0</v>
      </c>
      <c r="L1145" s="117">
        <v>3325.05</v>
      </c>
      <c r="M1145" s="117">
        <v>0</v>
      </c>
      <c r="N1145" s="117">
        <v>0</v>
      </c>
      <c r="O1145" s="117">
        <f>3000+3000+3000</f>
        <v>9000</v>
      </c>
      <c r="P1145" s="117">
        <v>0</v>
      </c>
      <c r="Q1145" s="117">
        <v>0</v>
      </c>
      <c r="R1145" s="117">
        <f>0+0+0+0+0+0+0+3379.08+0+3325.05</f>
        <v>6704.13</v>
      </c>
      <c r="S1145" s="117">
        <v>0</v>
      </c>
      <c r="T1145" s="117">
        <v>0</v>
      </c>
      <c r="U1145" s="153">
        <f t="shared" si="335"/>
        <v>0.74490333333333336</v>
      </c>
      <c r="V1145" s="128">
        <f t="shared" si="329"/>
        <v>9000</v>
      </c>
      <c r="W1145" s="128">
        <f t="shared" si="330"/>
        <v>0</v>
      </c>
      <c r="X1145" s="128">
        <f t="shared" si="331"/>
        <v>6704.13</v>
      </c>
      <c r="Y1145" s="128">
        <f t="shared" si="332"/>
        <v>0</v>
      </c>
      <c r="Z1145" s="195">
        <f t="shared" si="333"/>
        <v>0.74490333333333336</v>
      </c>
      <c r="AA1145" s="194">
        <f t="shared" si="334"/>
        <v>0</v>
      </c>
    </row>
    <row r="1146" spans="1:27" s="40" customFormat="1">
      <c r="A1146" s="152"/>
      <c r="B1146" s="274" t="s">
        <v>89</v>
      </c>
      <c r="C1146" s="275"/>
      <c r="D1146" s="275"/>
      <c r="E1146" s="275"/>
      <c r="F1146" s="276"/>
      <c r="G1146" s="277">
        <v>8000</v>
      </c>
      <c r="H1146" s="292"/>
      <c r="I1146" s="142">
        <v>0</v>
      </c>
      <c r="J1146" s="117">
        <v>0</v>
      </c>
      <c r="K1146" s="117">
        <v>0</v>
      </c>
      <c r="L1146" s="117">
        <v>3506</v>
      </c>
      <c r="M1146" s="117">
        <v>0</v>
      </c>
      <c r="N1146" s="117">
        <v>0</v>
      </c>
      <c r="O1146" s="117">
        <f>8000</f>
        <v>8000</v>
      </c>
      <c r="P1146" s="117">
        <v>0</v>
      </c>
      <c r="Q1146" s="117">
        <v>0</v>
      </c>
      <c r="R1146" s="117">
        <f>0+0+0+0+0+0+0+0+0+3506</f>
        <v>3506</v>
      </c>
      <c r="S1146" s="117">
        <v>0</v>
      </c>
      <c r="T1146" s="117">
        <v>0</v>
      </c>
      <c r="U1146" s="153">
        <f t="shared" si="335"/>
        <v>0.43824999999999997</v>
      </c>
      <c r="V1146" s="128">
        <f t="shared" si="329"/>
        <v>8000</v>
      </c>
      <c r="W1146" s="128">
        <f t="shared" si="330"/>
        <v>0</v>
      </c>
      <c r="X1146" s="128">
        <f t="shared" si="331"/>
        <v>3506</v>
      </c>
      <c r="Y1146" s="128">
        <f t="shared" si="332"/>
        <v>0</v>
      </c>
      <c r="Z1146" s="195">
        <f t="shared" si="333"/>
        <v>0.43824999999999997</v>
      </c>
      <c r="AA1146" s="194">
        <f t="shared" si="334"/>
        <v>0</v>
      </c>
    </row>
    <row r="1147" spans="1:27" s="40" customFormat="1">
      <c r="A1147" s="152"/>
      <c r="B1147" s="274" t="s">
        <v>90</v>
      </c>
      <c r="C1147" s="275"/>
      <c r="D1147" s="275"/>
      <c r="E1147" s="275"/>
      <c r="F1147" s="276"/>
      <c r="G1147" s="277">
        <v>9000</v>
      </c>
      <c r="H1147" s="292"/>
      <c r="I1147" s="142">
        <v>0</v>
      </c>
      <c r="J1147" s="117">
        <v>0</v>
      </c>
      <c r="K1147" s="117">
        <v>0</v>
      </c>
      <c r="L1147" s="117">
        <v>0</v>
      </c>
      <c r="M1147" s="117">
        <v>0</v>
      </c>
      <c r="N1147" s="117">
        <v>0</v>
      </c>
      <c r="O1147" s="117">
        <f>3000+3000+3000</f>
        <v>9000</v>
      </c>
      <c r="P1147" s="117">
        <v>0</v>
      </c>
      <c r="Q1147" s="117">
        <v>0</v>
      </c>
      <c r="R1147" s="117">
        <f>0+0+0+0+0+0+0+0+4617.12</f>
        <v>4617.12</v>
      </c>
      <c r="S1147" s="117">
        <v>0</v>
      </c>
      <c r="T1147" s="117">
        <v>0</v>
      </c>
      <c r="U1147" s="153">
        <f t="shared" si="335"/>
        <v>0.51301333333333332</v>
      </c>
      <c r="V1147" s="128">
        <f t="shared" si="329"/>
        <v>9000</v>
      </c>
      <c r="W1147" s="128">
        <f t="shared" si="330"/>
        <v>0</v>
      </c>
      <c r="X1147" s="128">
        <f t="shared" si="331"/>
        <v>4617.12</v>
      </c>
      <c r="Y1147" s="128">
        <f t="shared" si="332"/>
        <v>0</v>
      </c>
      <c r="Z1147" s="195">
        <f t="shared" si="333"/>
        <v>0.51301333333333332</v>
      </c>
      <c r="AA1147" s="194">
        <f t="shared" si="334"/>
        <v>0</v>
      </c>
    </row>
    <row r="1148" spans="1:27" s="40" customFormat="1">
      <c r="A1148" s="152"/>
      <c r="B1148" s="274" t="s">
        <v>64</v>
      </c>
      <c r="C1148" s="275"/>
      <c r="D1148" s="275"/>
      <c r="E1148" s="275"/>
      <c r="F1148" s="276"/>
      <c r="G1148" s="277">
        <v>3750</v>
      </c>
      <c r="H1148" s="292"/>
      <c r="I1148" s="142">
        <v>0</v>
      </c>
      <c r="J1148" s="117">
        <v>0</v>
      </c>
      <c r="K1148" s="117">
        <v>0</v>
      </c>
      <c r="L1148" s="117">
        <v>184</v>
      </c>
      <c r="M1148" s="117">
        <v>0</v>
      </c>
      <c r="N1148" s="117">
        <v>0</v>
      </c>
      <c r="O1148" s="117">
        <f>1250+1250</f>
        <v>2500</v>
      </c>
      <c r="P1148" s="117">
        <v>0</v>
      </c>
      <c r="Q1148" s="117">
        <v>0</v>
      </c>
      <c r="R1148" s="117">
        <f>622+200+184</f>
        <v>1006</v>
      </c>
      <c r="S1148" s="117">
        <v>0</v>
      </c>
      <c r="T1148" s="117">
        <v>0</v>
      </c>
      <c r="U1148" s="153">
        <f t="shared" si="335"/>
        <v>0.26826666666666665</v>
      </c>
      <c r="V1148" s="128">
        <f t="shared" si="329"/>
        <v>2500</v>
      </c>
      <c r="W1148" s="128">
        <f t="shared" si="330"/>
        <v>0</v>
      </c>
      <c r="X1148" s="128">
        <f t="shared" si="331"/>
        <v>1006</v>
      </c>
      <c r="Y1148" s="128">
        <f t="shared" si="332"/>
        <v>0</v>
      </c>
      <c r="Z1148" s="195">
        <f t="shared" si="333"/>
        <v>0.26826666666666665</v>
      </c>
      <c r="AA1148" s="194">
        <f t="shared" si="334"/>
        <v>0</v>
      </c>
    </row>
    <row r="1149" spans="1:27" s="40" customFormat="1">
      <c r="A1149" s="152"/>
      <c r="B1149" s="274" t="s">
        <v>91</v>
      </c>
      <c r="C1149" s="275"/>
      <c r="D1149" s="275"/>
      <c r="E1149" s="275"/>
      <c r="F1149" s="276"/>
      <c r="G1149" s="277">
        <v>6000</v>
      </c>
      <c r="H1149" s="292"/>
      <c r="I1149" s="142">
        <v>0</v>
      </c>
      <c r="J1149" s="117">
        <v>0</v>
      </c>
      <c r="K1149" s="117">
        <v>0</v>
      </c>
      <c r="L1149" s="117">
        <v>5300</v>
      </c>
      <c r="M1149" s="117">
        <v>0</v>
      </c>
      <c r="N1149" s="117">
        <v>0</v>
      </c>
      <c r="O1149" s="117">
        <f>6000</f>
        <v>6000</v>
      </c>
      <c r="P1149" s="117">
        <v>0</v>
      </c>
      <c r="Q1149" s="117">
        <v>0</v>
      </c>
      <c r="R1149" s="117">
        <f>0+0+0+0+0+0+0+0+0+5300</f>
        <v>5300</v>
      </c>
      <c r="S1149" s="117">
        <v>0</v>
      </c>
      <c r="T1149" s="117">
        <v>0</v>
      </c>
      <c r="U1149" s="153">
        <f t="shared" si="335"/>
        <v>0.8833333333333333</v>
      </c>
      <c r="V1149" s="128">
        <f t="shared" si="329"/>
        <v>6000</v>
      </c>
      <c r="W1149" s="128">
        <f t="shared" si="330"/>
        <v>0</v>
      </c>
      <c r="X1149" s="128">
        <f t="shared" si="331"/>
        <v>5300</v>
      </c>
      <c r="Y1149" s="128">
        <f t="shared" si="332"/>
        <v>0</v>
      </c>
      <c r="Z1149" s="195">
        <f t="shared" si="333"/>
        <v>0.8833333333333333</v>
      </c>
      <c r="AA1149" s="194">
        <f t="shared" si="334"/>
        <v>0</v>
      </c>
    </row>
    <row r="1150" spans="1:27" s="40" customFormat="1">
      <c r="A1150" s="152"/>
      <c r="B1150" s="274" t="s">
        <v>81</v>
      </c>
      <c r="C1150" s="275"/>
      <c r="D1150" s="275"/>
      <c r="E1150" s="275"/>
      <c r="F1150" s="276"/>
      <c r="G1150" s="277">
        <v>195000</v>
      </c>
      <c r="H1150" s="292"/>
      <c r="I1150" s="142">
        <v>13000</v>
      </c>
      <c r="J1150" s="117">
        <v>0</v>
      </c>
      <c r="K1150" s="117">
        <v>0</v>
      </c>
      <c r="L1150" s="117">
        <v>13803.49</v>
      </c>
      <c r="M1150" s="117">
        <v>0</v>
      </c>
      <c r="N1150" s="117">
        <v>0</v>
      </c>
      <c r="O1150" s="117">
        <f>26000+26000+26000+13000+13000+13000+13000+13000+13000+13000</f>
        <v>169000</v>
      </c>
      <c r="P1150" s="117">
        <v>0</v>
      </c>
      <c r="Q1150" s="117">
        <v>0</v>
      </c>
      <c r="R1150" s="117">
        <f>23416.71+27887.03+23419.61+15279.25+11463.61+13780.18+9596.71+15708.75+11521.67+13803.49</f>
        <v>165877.01</v>
      </c>
      <c r="S1150" s="117">
        <v>0</v>
      </c>
      <c r="T1150" s="117">
        <v>0</v>
      </c>
      <c r="U1150" s="153">
        <f t="shared" si="335"/>
        <v>0.85065133333333343</v>
      </c>
      <c r="V1150" s="128">
        <f t="shared" si="329"/>
        <v>169000</v>
      </c>
      <c r="W1150" s="128">
        <f t="shared" si="330"/>
        <v>0</v>
      </c>
      <c r="X1150" s="128">
        <f t="shared" si="331"/>
        <v>165877.01</v>
      </c>
      <c r="Y1150" s="128">
        <f t="shared" si="332"/>
        <v>0</v>
      </c>
      <c r="Z1150" s="195">
        <f t="shared" si="333"/>
        <v>0.85065133333333343</v>
      </c>
      <c r="AA1150" s="194">
        <f t="shared" si="334"/>
        <v>0</v>
      </c>
    </row>
    <row r="1151" spans="1:27" s="40" customFormat="1" ht="15" customHeight="1">
      <c r="A1151" s="152"/>
      <c r="B1151" s="274" t="s">
        <v>132</v>
      </c>
      <c r="C1151" s="275"/>
      <c r="D1151" s="275"/>
      <c r="E1151" s="275"/>
      <c r="F1151" s="276"/>
      <c r="G1151" s="277">
        <v>1900</v>
      </c>
      <c r="H1151" s="292"/>
      <c r="I1151" s="142">
        <v>0</v>
      </c>
      <c r="J1151" s="117">
        <v>0</v>
      </c>
      <c r="K1151" s="117">
        <v>0</v>
      </c>
      <c r="L1151" s="117">
        <v>0</v>
      </c>
      <c r="M1151" s="117">
        <v>0</v>
      </c>
      <c r="N1151" s="117">
        <v>0</v>
      </c>
      <c r="O1151" s="117">
        <v>1900</v>
      </c>
      <c r="P1151" s="117">
        <v>0</v>
      </c>
      <c r="Q1151" s="117">
        <v>0</v>
      </c>
      <c r="R1151" s="117">
        <f>0+1893.11</f>
        <v>1893.11</v>
      </c>
      <c r="S1151" s="117">
        <v>0</v>
      </c>
      <c r="T1151" s="117">
        <v>0</v>
      </c>
      <c r="U1151" s="153">
        <f>R1151/G1151</f>
        <v>0.9963736842105263</v>
      </c>
      <c r="V1151" s="128">
        <f t="shared" si="329"/>
        <v>1900</v>
      </c>
      <c r="W1151" s="128">
        <f t="shared" si="330"/>
        <v>0</v>
      </c>
      <c r="X1151" s="128">
        <f t="shared" si="331"/>
        <v>1893.11</v>
      </c>
      <c r="Y1151" s="128">
        <f t="shared" si="332"/>
        <v>0</v>
      </c>
      <c r="Z1151" s="195">
        <f t="shared" si="333"/>
        <v>0.9963736842105263</v>
      </c>
      <c r="AA1151" s="194">
        <f t="shared" si="334"/>
        <v>0</v>
      </c>
    </row>
    <row r="1152" spans="1:27" s="40" customFormat="1" ht="15" customHeight="1">
      <c r="A1152" s="152"/>
      <c r="B1152" s="274" t="s">
        <v>133</v>
      </c>
      <c r="C1152" s="275"/>
      <c r="D1152" s="275"/>
      <c r="E1152" s="275"/>
      <c r="F1152" s="276"/>
      <c r="G1152" s="277">
        <v>20000</v>
      </c>
      <c r="H1152" s="292"/>
      <c r="I1152" s="142">
        <v>0</v>
      </c>
      <c r="J1152" s="116">
        <v>0</v>
      </c>
      <c r="K1152" s="116">
        <v>0</v>
      </c>
      <c r="L1152" s="116">
        <v>0</v>
      </c>
      <c r="M1152" s="116">
        <v>0</v>
      </c>
      <c r="N1152" s="116">
        <v>0</v>
      </c>
      <c r="O1152" s="116">
        <v>20000</v>
      </c>
      <c r="P1152" s="116">
        <v>0</v>
      </c>
      <c r="Q1152" s="116">
        <v>0</v>
      </c>
      <c r="R1152" s="116">
        <v>17456</v>
      </c>
      <c r="S1152" s="116">
        <v>0</v>
      </c>
      <c r="T1152" s="116">
        <v>0</v>
      </c>
      <c r="U1152" s="156">
        <f>R1152/G1152</f>
        <v>0.87280000000000002</v>
      </c>
      <c r="V1152" s="128">
        <f t="shared" si="329"/>
        <v>20000</v>
      </c>
      <c r="W1152" s="128">
        <f t="shared" si="330"/>
        <v>0</v>
      </c>
      <c r="X1152" s="128">
        <f t="shared" si="331"/>
        <v>17456</v>
      </c>
      <c r="Y1152" s="128">
        <f t="shared" si="332"/>
        <v>0</v>
      </c>
      <c r="Z1152" s="195">
        <f t="shared" si="333"/>
        <v>0.87280000000000002</v>
      </c>
      <c r="AA1152" s="194">
        <f t="shared" si="334"/>
        <v>0</v>
      </c>
    </row>
    <row r="1153" spans="1:27" s="40" customFormat="1" ht="15" customHeight="1">
      <c r="A1153" s="152"/>
      <c r="B1153" s="274" t="s">
        <v>134</v>
      </c>
      <c r="C1153" s="275"/>
      <c r="D1153" s="275"/>
      <c r="E1153" s="275"/>
      <c r="F1153" s="276"/>
      <c r="G1153" s="277">
        <v>7200</v>
      </c>
      <c r="H1153" s="292"/>
      <c r="I1153" s="142">
        <v>0</v>
      </c>
      <c r="J1153" s="116">
        <v>0</v>
      </c>
      <c r="K1153" s="116">
        <v>0</v>
      </c>
      <c r="L1153" s="116">
        <v>0</v>
      </c>
      <c r="M1153" s="116">
        <v>0</v>
      </c>
      <c r="N1153" s="116">
        <v>0</v>
      </c>
      <c r="O1153" s="116">
        <f>7200</f>
        <v>7200</v>
      </c>
      <c r="P1153" s="116">
        <v>0</v>
      </c>
      <c r="Q1153" s="116">
        <v>0</v>
      </c>
      <c r="R1153" s="116">
        <f>7200</f>
        <v>7200</v>
      </c>
      <c r="S1153" s="116">
        <v>0</v>
      </c>
      <c r="T1153" s="116">
        <v>0</v>
      </c>
      <c r="U1153" s="156">
        <f>R1153/G1153</f>
        <v>1</v>
      </c>
      <c r="V1153" s="128">
        <f t="shared" si="329"/>
        <v>7200</v>
      </c>
      <c r="W1153" s="128">
        <f t="shared" si="330"/>
        <v>0</v>
      </c>
      <c r="X1153" s="128">
        <f t="shared" si="331"/>
        <v>7200</v>
      </c>
      <c r="Y1153" s="128">
        <f t="shared" si="332"/>
        <v>0</v>
      </c>
      <c r="Z1153" s="195">
        <f t="shared" si="333"/>
        <v>1</v>
      </c>
      <c r="AA1153" s="194">
        <f t="shared" si="334"/>
        <v>0</v>
      </c>
    </row>
    <row r="1154" spans="1:27" s="40" customFormat="1" ht="15" customHeight="1">
      <c r="A1154" s="152"/>
      <c r="B1154" s="274" t="s">
        <v>79</v>
      </c>
      <c r="C1154" s="275"/>
      <c r="D1154" s="275"/>
      <c r="E1154" s="275"/>
      <c r="F1154" s="276"/>
      <c r="G1154" s="277">
        <v>37500</v>
      </c>
      <c r="H1154" s="292"/>
      <c r="I1154" s="142">
        <v>0</v>
      </c>
      <c r="J1154" s="116">
        <v>0</v>
      </c>
      <c r="K1154" s="116">
        <v>0</v>
      </c>
      <c r="L1154" s="116">
        <v>0</v>
      </c>
      <c r="M1154" s="116">
        <v>0</v>
      </c>
      <c r="N1154" s="116">
        <v>0</v>
      </c>
      <c r="O1154" s="116">
        <v>37500</v>
      </c>
      <c r="P1154" s="116">
        <v>0</v>
      </c>
      <c r="Q1154" s="116">
        <v>0</v>
      </c>
      <c r="R1154" s="116">
        <f>0+0+0+0+0+0+0+37500</f>
        <v>37500</v>
      </c>
      <c r="S1154" s="116">
        <v>0</v>
      </c>
      <c r="T1154" s="116">
        <v>0</v>
      </c>
      <c r="U1154" s="156">
        <f t="shared" ref="U1154:U1155" si="336">R1154/G1154</f>
        <v>1</v>
      </c>
      <c r="V1154" s="128">
        <f t="shared" si="329"/>
        <v>37500</v>
      </c>
      <c r="W1154" s="128">
        <f t="shared" si="330"/>
        <v>0</v>
      </c>
      <c r="X1154" s="128">
        <f t="shared" si="331"/>
        <v>37500</v>
      </c>
      <c r="Y1154" s="128">
        <f t="shared" si="332"/>
        <v>0</v>
      </c>
      <c r="Z1154" s="195">
        <f t="shared" si="333"/>
        <v>1</v>
      </c>
      <c r="AA1154" s="194">
        <f t="shared" si="334"/>
        <v>0</v>
      </c>
    </row>
    <row r="1155" spans="1:27" s="40" customFormat="1" ht="15" customHeight="1">
      <c r="A1155" s="152"/>
      <c r="B1155" s="274" t="s">
        <v>92</v>
      </c>
      <c r="C1155" s="275"/>
      <c r="D1155" s="275"/>
      <c r="E1155" s="275"/>
      <c r="F1155" s="276"/>
      <c r="G1155" s="277">
        <v>39600</v>
      </c>
      <c r="H1155" s="292"/>
      <c r="I1155" s="142">
        <v>0</v>
      </c>
      <c r="J1155" s="116">
        <v>0</v>
      </c>
      <c r="K1155" s="116">
        <v>0</v>
      </c>
      <c r="L1155" s="116">
        <v>14500</v>
      </c>
      <c r="M1155" s="116">
        <v>0</v>
      </c>
      <c r="N1155" s="116">
        <v>0</v>
      </c>
      <c r="O1155" s="116">
        <v>39600</v>
      </c>
      <c r="P1155" s="116">
        <v>0</v>
      </c>
      <c r="Q1155" s="116">
        <v>0</v>
      </c>
      <c r="R1155" s="116">
        <v>14500</v>
      </c>
      <c r="S1155" s="116">
        <v>0</v>
      </c>
      <c r="T1155" s="116">
        <v>0</v>
      </c>
      <c r="U1155" s="156">
        <f t="shared" si="336"/>
        <v>0.36616161616161619</v>
      </c>
      <c r="V1155" s="128">
        <f t="shared" si="329"/>
        <v>39600</v>
      </c>
      <c r="W1155" s="128">
        <f t="shared" si="330"/>
        <v>0</v>
      </c>
      <c r="X1155" s="128">
        <f t="shared" si="331"/>
        <v>14500</v>
      </c>
      <c r="Y1155" s="128">
        <f t="shared" si="332"/>
        <v>0</v>
      </c>
      <c r="Z1155" s="195">
        <f t="shared" si="333"/>
        <v>0.36616161616161619</v>
      </c>
      <c r="AA1155" s="194">
        <f t="shared" si="334"/>
        <v>0</v>
      </c>
    </row>
    <row r="1156" spans="1:27" s="40" customFormat="1">
      <c r="A1156" s="152"/>
      <c r="B1156" s="274" t="s">
        <v>65</v>
      </c>
      <c r="C1156" s="275"/>
      <c r="D1156" s="275"/>
      <c r="E1156" s="275"/>
      <c r="F1156" s="276"/>
      <c r="G1156" s="277">
        <v>23750</v>
      </c>
      <c r="H1156" s="292"/>
      <c r="I1156" s="142">
        <v>0</v>
      </c>
      <c r="J1156" s="116">
        <v>0</v>
      </c>
      <c r="K1156" s="116">
        <v>0</v>
      </c>
      <c r="L1156" s="116">
        <v>410</v>
      </c>
      <c r="M1156" s="116">
        <v>0</v>
      </c>
      <c r="N1156" s="116">
        <v>0</v>
      </c>
      <c r="O1156" s="116">
        <f>3750+2500+15000</f>
        <v>21250</v>
      </c>
      <c r="P1156" s="116">
        <v>0</v>
      </c>
      <c r="Q1156" s="116">
        <v>0</v>
      </c>
      <c r="R1156" s="116">
        <f>2126.81+1754.81+410</f>
        <v>4291.62</v>
      </c>
      <c r="S1156" s="116">
        <v>0</v>
      </c>
      <c r="T1156" s="116">
        <v>0</v>
      </c>
      <c r="U1156" s="156">
        <f>R1156/G1156</f>
        <v>0.1806997894736842</v>
      </c>
      <c r="V1156" s="128">
        <f t="shared" si="329"/>
        <v>21250</v>
      </c>
      <c r="W1156" s="128">
        <f t="shared" si="330"/>
        <v>0</v>
      </c>
      <c r="X1156" s="128">
        <f t="shared" si="331"/>
        <v>4291.62</v>
      </c>
      <c r="Y1156" s="128">
        <f t="shared" si="332"/>
        <v>0</v>
      </c>
      <c r="Z1156" s="195">
        <f t="shared" si="333"/>
        <v>0.1806997894736842</v>
      </c>
      <c r="AA1156" s="194">
        <f t="shared" si="334"/>
        <v>0</v>
      </c>
    </row>
    <row r="1157" spans="1:27" ht="15.75" thickBot="1">
      <c r="A1157" s="23"/>
      <c r="B1157" s="453"/>
      <c r="C1157" s="454"/>
      <c r="D1157" s="454"/>
      <c r="E1157" s="454"/>
      <c r="F1157" s="455"/>
      <c r="G1157" s="456"/>
      <c r="H1157" s="457"/>
      <c r="I1157" s="145"/>
      <c r="J1157" s="26"/>
      <c r="K1157" s="26"/>
      <c r="L1157" s="26"/>
      <c r="M1157" s="26"/>
      <c r="N1157" s="26"/>
      <c r="O1157" s="26"/>
      <c r="P1157" s="26"/>
      <c r="Q1157" s="26"/>
      <c r="R1157" s="26"/>
      <c r="S1157" s="26"/>
      <c r="T1157" s="26"/>
      <c r="U1157" s="27"/>
    </row>
    <row r="1158" spans="1:27" ht="15.75" thickBot="1">
      <c r="A1158" s="23"/>
      <c r="B1158" s="257" t="s">
        <v>21</v>
      </c>
      <c r="C1158" s="258"/>
      <c r="D1158" s="258"/>
      <c r="E1158" s="258"/>
      <c r="F1158" s="259"/>
      <c r="G1158" s="260">
        <f>SUM(G1136:H1157)</f>
        <v>675408</v>
      </c>
      <c r="H1158" s="261"/>
      <c r="I1158" s="29">
        <f>SUM(I1136:I1157)</f>
        <v>32500</v>
      </c>
      <c r="J1158" s="29"/>
      <c r="K1158" s="29"/>
      <c r="L1158" s="29">
        <f>SUM(L1136:L1157)</f>
        <v>70799.87</v>
      </c>
      <c r="M1158" s="29"/>
      <c r="N1158" s="29"/>
      <c r="O1158" s="29">
        <f>SUM(O1136:O1157)</f>
        <v>583658</v>
      </c>
      <c r="P1158" s="29"/>
      <c r="Q1158" s="29"/>
      <c r="R1158" s="29">
        <f>SUM(R1136:R1157)</f>
        <v>478929.97</v>
      </c>
      <c r="S1158" s="29"/>
      <c r="T1158" s="30"/>
      <c r="U1158" s="78">
        <f>R1158/G1158</f>
        <v>0.70909727157510716</v>
      </c>
      <c r="V1158" s="128">
        <f>+I1158+O1036</f>
        <v>583658</v>
      </c>
      <c r="W1158" s="128">
        <f>+O1158-V1158</f>
        <v>0</v>
      </c>
      <c r="X1158" s="128">
        <f>+L1158+R1036</f>
        <v>478929.97</v>
      </c>
      <c r="Y1158" s="128">
        <f>+R1158-X1158</f>
        <v>0</v>
      </c>
      <c r="Z1158" s="195">
        <f>+X1158/G1158</f>
        <v>0.70909727157510716</v>
      </c>
      <c r="AA1158" s="194">
        <f>+U1158-Z1158</f>
        <v>0</v>
      </c>
    </row>
    <row r="1159" spans="1:27" ht="15.75" thickBot="1">
      <c r="A1159" s="23"/>
      <c r="B1159" s="297"/>
      <c r="C1159" s="297"/>
      <c r="D1159" s="297"/>
      <c r="E1159" s="297"/>
      <c r="F1159" s="297"/>
      <c r="G1159" s="298"/>
      <c r="H1159" s="298"/>
      <c r="I1159" s="145"/>
      <c r="J1159" s="145"/>
      <c r="K1159" s="145"/>
      <c r="L1159" s="145"/>
      <c r="M1159" s="145"/>
      <c r="N1159" s="145"/>
      <c r="O1159" s="145"/>
      <c r="P1159" s="145"/>
      <c r="Q1159" s="145"/>
      <c r="R1159" s="145"/>
      <c r="S1159" s="145"/>
      <c r="T1159" s="145"/>
      <c r="U1159" s="72"/>
    </row>
    <row r="1160" spans="1:27" ht="15.75" thickBot="1">
      <c r="A1160" s="23"/>
      <c r="B1160" s="284" t="s">
        <v>30</v>
      </c>
      <c r="C1160" s="285"/>
      <c r="D1160" s="285"/>
      <c r="E1160" s="285"/>
      <c r="F1160" s="285"/>
      <c r="G1160" s="285"/>
      <c r="H1160" s="285"/>
      <c r="I1160" s="285"/>
      <c r="J1160" s="285"/>
      <c r="K1160" s="285"/>
      <c r="L1160" s="285"/>
      <c r="M1160" s="285"/>
      <c r="N1160" s="285"/>
      <c r="O1160" s="285"/>
      <c r="P1160" s="285"/>
      <c r="Q1160" s="285"/>
      <c r="R1160" s="285"/>
      <c r="S1160" s="285"/>
      <c r="T1160" s="285"/>
      <c r="U1160" s="286"/>
    </row>
    <row r="1161" spans="1:27" s="40" customFormat="1" ht="15" customHeight="1">
      <c r="A1161" s="152"/>
      <c r="B1161" s="287" t="s">
        <v>80</v>
      </c>
      <c r="C1161" s="288"/>
      <c r="D1161" s="288"/>
      <c r="E1161" s="288"/>
      <c r="F1161" s="289"/>
      <c r="G1161" s="290">
        <v>11500</v>
      </c>
      <c r="H1161" s="291"/>
      <c r="I1161" s="161">
        <v>0</v>
      </c>
      <c r="J1161" s="161">
        <v>0</v>
      </c>
      <c r="K1161" s="161">
        <v>0</v>
      </c>
      <c r="L1161" s="161">
        <v>1811.43</v>
      </c>
      <c r="M1161" s="161">
        <v>0</v>
      </c>
      <c r="N1161" s="161">
        <v>0</v>
      </c>
      <c r="O1161" s="161">
        <f>11500+0</f>
        <v>11500</v>
      </c>
      <c r="P1161" s="161">
        <v>0</v>
      </c>
      <c r="Q1161" s="161">
        <v>0</v>
      </c>
      <c r="R1161" s="161">
        <f>3804.87+5883.7+1811.43</f>
        <v>11500</v>
      </c>
      <c r="S1161" s="161">
        <v>0</v>
      </c>
      <c r="T1161" s="141">
        <v>0</v>
      </c>
      <c r="U1161" s="162">
        <f t="shared" ref="U1161:U1168" si="337">R1161/G1161</f>
        <v>1</v>
      </c>
      <c r="V1161" s="128">
        <f t="shared" ref="V1161:V1168" si="338">+I1161+O1039</f>
        <v>11500</v>
      </c>
      <c r="W1161" s="128">
        <f t="shared" ref="W1161:W1168" si="339">+O1161-V1161</f>
        <v>0</v>
      </c>
      <c r="X1161" s="128">
        <f t="shared" ref="X1161:X1168" si="340">+L1161+R1039</f>
        <v>11500</v>
      </c>
      <c r="Y1161" s="128">
        <f t="shared" ref="Y1161:Y1168" si="341">+R1161-X1161</f>
        <v>0</v>
      </c>
      <c r="Z1161" s="195">
        <f t="shared" ref="Z1161:Z1168" si="342">+X1161/G1161</f>
        <v>1</v>
      </c>
      <c r="AA1161" s="194">
        <f t="shared" ref="AA1161:AA1168" si="343">+U1161-Z1161</f>
        <v>0</v>
      </c>
    </row>
    <row r="1162" spans="1:27" s="40" customFormat="1">
      <c r="A1162" s="152"/>
      <c r="B1162" s="274" t="s">
        <v>124</v>
      </c>
      <c r="C1162" s="275"/>
      <c r="D1162" s="275"/>
      <c r="E1162" s="275"/>
      <c r="F1162" s="276"/>
      <c r="G1162" s="277">
        <v>30000</v>
      </c>
      <c r="H1162" s="278"/>
      <c r="I1162" s="116">
        <v>0</v>
      </c>
      <c r="J1162" s="116">
        <v>0</v>
      </c>
      <c r="K1162" s="116">
        <v>0</v>
      </c>
      <c r="L1162" s="116">
        <v>0</v>
      </c>
      <c r="M1162" s="116">
        <v>0</v>
      </c>
      <c r="N1162" s="116">
        <v>0</v>
      </c>
      <c r="O1162" s="116">
        <v>0</v>
      </c>
      <c r="P1162" s="116">
        <v>0</v>
      </c>
      <c r="Q1162" s="116">
        <v>0</v>
      </c>
      <c r="R1162" s="116">
        <v>0</v>
      </c>
      <c r="S1162" s="116">
        <v>0</v>
      </c>
      <c r="T1162" s="117">
        <v>0</v>
      </c>
      <c r="U1162" s="153">
        <f t="shared" si="337"/>
        <v>0</v>
      </c>
      <c r="V1162" s="128">
        <f t="shared" si="338"/>
        <v>0</v>
      </c>
      <c r="W1162" s="128">
        <f t="shared" si="339"/>
        <v>0</v>
      </c>
      <c r="X1162" s="128">
        <f t="shared" si="340"/>
        <v>0</v>
      </c>
      <c r="Y1162" s="128">
        <f t="shared" si="341"/>
        <v>0</v>
      </c>
      <c r="Z1162" s="195">
        <f t="shared" si="342"/>
        <v>0</v>
      </c>
      <c r="AA1162" s="194">
        <f t="shared" si="343"/>
        <v>0</v>
      </c>
    </row>
    <row r="1163" spans="1:27" s="40" customFormat="1">
      <c r="A1163" s="152"/>
      <c r="B1163" s="274" t="s">
        <v>68</v>
      </c>
      <c r="C1163" s="275"/>
      <c r="D1163" s="275"/>
      <c r="E1163" s="275"/>
      <c r="F1163" s="276"/>
      <c r="G1163" s="277">
        <v>12328</v>
      </c>
      <c r="H1163" s="278"/>
      <c r="I1163" s="116">
        <v>0</v>
      </c>
      <c r="J1163" s="116">
        <v>0</v>
      </c>
      <c r="K1163" s="116">
        <v>0</v>
      </c>
      <c r="L1163" s="116">
        <v>0</v>
      </c>
      <c r="M1163" s="116">
        <v>0</v>
      </c>
      <c r="N1163" s="116">
        <v>0</v>
      </c>
      <c r="O1163" s="116">
        <v>12328</v>
      </c>
      <c r="P1163" s="116">
        <v>0</v>
      </c>
      <c r="Q1163" s="116">
        <v>0</v>
      </c>
      <c r="R1163" s="116">
        <v>12328</v>
      </c>
      <c r="S1163" s="116">
        <v>0</v>
      </c>
      <c r="T1163" s="117">
        <v>0</v>
      </c>
      <c r="U1163" s="153">
        <f t="shared" si="337"/>
        <v>1</v>
      </c>
      <c r="V1163" s="128">
        <f t="shared" si="338"/>
        <v>12328</v>
      </c>
      <c r="W1163" s="128">
        <f t="shared" si="339"/>
        <v>0</v>
      </c>
      <c r="X1163" s="128">
        <f t="shared" si="340"/>
        <v>12328</v>
      </c>
      <c r="Y1163" s="128">
        <f t="shared" si="341"/>
        <v>0</v>
      </c>
      <c r="Z1163" s="195">
        <f t="shared" si="342"/>
        <v>1</v>
      </c>
      <c r="AA1163" s="194">
        <f t="shared" si="343"/>
        <v>0</v>
      </c>
    </row>
    <row r="1164" spans="1:27" s="40" customFormat="1" ht="15" customHeight="1">
      <c r="A1164" s="152"/>
      <c r="B1164" s="274" t="s">
        <v>66</v>
      </c>
      <c r="C1164" s="275"/>
      <c r="D1164" s="275"/>
      <c r="E1164" s="275"/>
      <c r="F1164" s="276"/>
      <c r="G1164" s="277">
        <v>16000</v>
      </c>
      <c r="H1164" s="278"/>
      <c r="I1164" s="116">
        <v>0</v>
      </c>
      <c r="J1164" s="116">
        <v>0</v>
      </c>
      <c r="K1164" s="116">
        <v>0</v>
      </c>
      <c r="L1164" s="116">
        <v>0</v>
      </c>
      <c r="M1164" s="116">
        <v>0</v>
      </c>
      <c r="N1164" s="116">
        <v>0</v>
      </c>
      <c r="O1164" s="116">
        <v>16000</v>
      </c>
      <c r="P1164" s="116">
        <v>0</v>
      </c>
      <c r="Q1164" s="116">
        <v>0</v>
      </c>
      <c r="R1164" s="116">
        <f>0+0+0+0+6710.67+9289.33</f>
        <v>16000</v>
      </c>
      <c r="S1164" s="116">
        <v>0</v>
      </c>
      <c r="T1164" s="117">
        <v>0</v>
      </c>
      <c r="U1164" s="153">
        <f t="shared" si="337"/>
        <v>1</v>
      </c>
      <c r="V1164" s="128">
        <f t="shared" si="338"/>
        <v>16000</v>
      </c>
      <c r="W1164" s="128">
        <f t="shared" si="339"/>
        <v>0</v>
      </c>
      <c r="X1164" s="128">
        <f t="shared" si="340"/>
        <v>16000</v>
      </c>
      <c r="Y1164" s="128">
        <f t="shared" si="341"/>
        <v>0</v>
      </c>
      <c r="Z1164" s="195">
        <f t="shared" si="342"/>
        <v>1</v>
      </c>
      <c r="AA1164" s="194">
        <f t="shared" si="343"/>
        <v>0</v>
      </c>
    </row>
    <row r="1165" spans="1:27" s="40" customFormat="1" ht="15" customHeight="1">
      <c r="A1165" s="152"/>
      <c r="B1165" s="274" t="s">
        <v>67</v>
      </c>
      <c r="C1165" s="275"/>
      <c r="D1165" s="275"/>
      <c r="E1165" s="275"/>
      <c r="F1165" s="276"/>
      <c r="G1165" s="277">
        <v>15000</v>
      </c>
      <c r="H1165" s="278"/>
      <c r="I1165" s="116">
        <v>0</v>
      </c>
      <c r="J1165" s="116">
        <v>0</v>
      </c>
      <c r="K1165" s="116">
        <v>0</v>
      </c>
      <c r="L1165" s="116">
        <v>0</v>
      </c>
      <c r="M1165" s="116">
        <v>0</v>
      </c>
      <c r="N1165" s="116">
        <v>0</v>
      </c>
      <c r="O1165" s="116">
        <v>0</v>
      </c>
      <c r="P1165" s="116">
        <v>0</v>
      </c>
      <c r="Q1165" s="116">
        <v>0</v>
      </c>
      <c r="R1165" s="116">
        <v>0</v>
      </c>
      <c r="S1165" s="116">
        <v>0</v>
      </c>
      <c r="T1165" s="117">
        <v>0</v>
      </c>
      <c r="U1165" s="153">
        <f t="shared" si="337"/>
        <v>0</v>
      </c>
      <c r="V1165" s="128">
        <f t="shared" si="338"/>
        <v>0</v>
      </c>
      <c r="W1165" s="128">
        <f t="shared" si="339"/>
        <v>0</v>
      </c>
      <c r="X1165" s="128">
        <f t="shared" si="340"/>
        <v>0</v>
      </c>
      <c r="Y1165" s="128">
        <f t="shared" si="341"/>
        <v>0</v>
      </c>
      <c r="Z1165" s="195">
        <f t="shared" si="342"/>
        <v>0</v>
      </c>
      <c r="AA1165" s="194">
        <f t="shared" si="343"/>
        <v>0</v>
      </c>
    </row>
    <row r="1166" spans="1:27" s="40" customFormat="1" ht="15" customHeight="1">
      <c r="A1166" s="152"/>
      <c r="B1166" s="274" t="s">
        <v>93</v>
      </c>
      <c r="C1166" s="275"/>
      <c r="D1166" s="275"/>
      <c r="E1166" s="275"/>
      <c r="F1166" s="276"/>
      <c r="G1166" s="277">
        <v>12000</v>
      </c>
      <c r="H1166" s="278"/>
      <c r="I1166" s="116">
        <v>0</v>
      </c>
      <c r="J1166" s="116">
        <v>0</v>
      </c>
      <c r="K1166" s="116">
        <v>0</v>
      </c>
      <c r="L1166" s="116">
        <v>0</v>
      </c>
      <c r="M1166" s="116">
        <v>0</v>
      </c>
      <c r="N1166" s="116">
        <v>0</v>
      </c>
      <c r="O1166" s="116">
        <f>6000+6000</f>
        <v>12000</v>
      </c>
      <c r="P1166" s="116">
        <v>0</v>
      </c>
      <c r="Q1166" s="116">
        <v>0</v>
      </c>
      <c r="R1166" s="116">
        <v>12000</v>
      </c>
      <c r="S1166" s="116">
        <v>0</v>
      </c>
      <c r="T1166" s="117">
        <v>0</v>
      </c>
      <c r="U1166" s="153">
        <f t="shared" si="337"/>
        <v>1</v>
      </c>
      <c r="V1166" s="128">
        <f t="shared" si="338"/>
        <v>12000</v>
      </c>
      <c r="W1166" s="128">
        <f t="shared" si="339"/>
        <v>0</v>
      </c>
      <c r="X1166" s="128">
        <f t="shared" si="340"/>
        <v>12000</v>
      </c>
      <c r="Y1166" s="128">
        <f t="shared" si="341"/>
        <v>0</v>
      </c>
      <c r="Z1166" s="195">
        <f t="shared" si="342"/>
        <v>1</v>
      </c>
      <c r="AA1166" s="194">
        <f t="shared" si="343"/>
        <v>0</v>
      </c>
    </row>
    <row r="1167" spans="1:27" s="40" customFormat="1" ht="15" customHeight="1">
      <c r="A1167" s="152"/>
      <c r="B1167" s="274" t="s">
        <v>69</v>
      </c>
      <c r="C1167" s="275"/>
      <c r="D1167" s="275"/>
      <c r="E1167" s="275"/>
      <c r="F1167" s="276"/>
      <c r="G1167" s="277">
        <v>4400</v>
      </c>
      <c r="H1167" s="278"/>
      <c r="I1167" s="116">
        <v>0</v>
      </c>
      <c r="J1167" s="116">
        <v>0</v>
      </c>
      <c r="K1167" s="116">
        <v>0</v>
      </c>
      <c r="L1167" s="116">
        <v>601.80999999999995</v>
      </c>
      <c r="M1167" s="116">
        <v>0</v>
      </c>
      <c r="N1167" s="116">
        <v>0</v>
      </c>
      <c r="O1167" s="116">
        <v>4400</v>
      </c>
      <c r="P1167" s="116">
        <v>0</v>
      </c>
      <c r="Q1167" s="116">
        <v>0</v>
      </c>
      <c r="R1167" s="116">
        <f>1952.17+1047.39+601.81</f>
        <v>3601.3700000000003</v>
      </c>
      <c r="S1167" s="116">
        <v>0</v>
      </c>
      <c r="T1167" s="117">
        <v>0</v>
      </c>
      <c r="U1167" s="153">
        <f t="shared" si="337"/>
        <v>0.81849318181818187</v>
      </c>
      <c r="V1167" s="128">
        <f t="shared" si="338"/>
        <v>4400</v>
      </c>
      <c r="W1167" s="128">
        <f t="shared" si="339"/>
        <v>0</v>
      </c>
      <c r="X1167" s="128">
        <f t="shared" si="340"/>
        <v>3601.3700000000003</v>
      </c>
      <c r="Y1167" s="128">
        <f t="shared" si="341"/>
        <v>0</v>
      </c>
      <c r="Z1167" s="195">
        <f t="shared" si="342"/>
        <v>0.81849318181818187</v>
      </c>
      <c r="AA1167" s="194">
        <f t="shared" si="343"/>
        <v>0</v>
      </c>
    </row>
    <row r="1168" spans="1:27" s="40" customFormat="1" ht="15" customHeight="1">
      <c r="A1168" s="152"/>
      <c r="B1168" s="274" t="s">
        <v>94</v>
      </c>
      <c r="C1168" s="275"/>
      <c r="D1168" s="275"/>
      <c r="E1168" s="275"/>
      <c r="F1168" s="276"/>
      <c r="G1168" s="277">
        <v>3200</v>
      </c>
      <c r="H1168" s="278"/>
      <c r="I1168" s="116">
        <v>0</v>
      </c>
      <c r="J1168" s="116">
        <v>0</v>
      </c>
      <c r="K1168" s="116">
        <v>0</v>
      </c>
      <c r="L1168" s="116">
        <v>911</v>
      </c>
      <c r="M1168" s="116">
        <v>0</v>
      </c>
      <c r="N1168" s="116">
        <v>0</v>
      </c>
      <c r="O1168" s="116">
        <f>800+800+800</f>
        <v>2400</v>
      </c>
      <c r="P1168" s="116">
        <v>0</v>
      </c>
      <c r="Q1168" s="116">
        <v>0</v>
      </c>
      <c r="R1168" s="116">
        <f>2289+911</f>
        <v>3200</v>
      </c>
      <c r="S1168" s="116">
        <v>0</v>
      </c>
      <c r="T1168" s="117">
        <v>0</v>
      </c>
      <c r="U1168" s="153">
        <f t="shared" si="337"/>
        <v>1</v>
      </c>
      <c r="V1168" s="128">
        <f t="shared" si="338"/>
        <v>2400</v>
      </c>
      <c r="W1168" s="128">
        <f t="shared" si="339"/>
        <v>0</v>
      </c>
      <c r="X1168" s="128">
        <f t="shared" si="340"/>
        <v>3200</v>
      </c>
      <c r="Y1168" s="128">
        <f t="shared" si="341"/>
        <v>0</v>
      </c>
      <c r="Z1168" s="195">
        <f t="shared" si="342"/>
        <v>1</v>
      </c>
      <c r="AA1168" s="194">
        <f t="shared" si="343"/>
        <v>0</v>
      </c>
    </row>
    <row r="1169" spans="1:27" ht="15.75" thickBot="1">
      <c r="A1169" s="23"/>
      <c r="B1169" s="469"/>
      <c r="C1169" s="297"/>
      <c r="D1169" s="297"/>
      <c r="E1169" s="297"/>
      <c r="F1169" s="470"/>
      <c r="G1169" s="456"/>
      <c r="H1169" s="468"/>
      <c r="I1169" s="55"/>
      <c r="J1169" s="55"/>
      <c r="K1169" s="55"/>
      <c r="L1169" s="55"/>
      <c r="M1169" s="55"/>
      <c r="N1169" s="55"/>
      <c r="O1169" s="55"/>
      <c r="P1169" s="55"/>
      <c r="Q1169" s="55"/>
      <c r="R1169" s="55"/>
      <c r="S1169" s="55"/>
      <c r="T1169" s="76"/>
      <c r="U1169" s="77"/>
    </row>
    <row r="1170" spans="1:27" ht="15.75" thickBot="1">
      <c r="A1170" s="23"/>
      <c r="B1170" s="257" t="s">
        <v>21</v>
      </c>
      <c r="C1170" s="258"/>
      <c r="D1170" s="258"/>
      <c r="E1170" s="258"/>
      <c r="F1170" s="259"/>
      <c r="G1170" s="260">
        <f>SUM(G1161:H1169)</f>
        <v>104428</v>
      </c>
      <c r="H1170" s="261"/>
      <c r="I1170" s="29">
        <f>SUM(I1161:I1169)</f>
        <v>0</v>
      </c>
      <c r="J1170" s="29"/>
      <c r="K1170" s="29"/>
      <c r="L1170" s="29">
        <f>SUM(L1161:L1169)</f>
        <v>3324.24</v>
      </c>
      <c r="M1170" s="29"/>
      <c r="N1170" s="29"/>
      <c r="O1170" s="29">
        <f>SUM(O1161:O1169)</f>
        <v>58628</v>
      </c>
      <c r="P1170" s="29"/>
      <c r="Q1170" s="29"/>
      <c r="R1170" s="29">
        <f>SUM(R1161:R1169)</f>
        <v>58629.37</v>
      </c>
      <c r="S1170" s="30"/>
      <c r="T1170" s="73"/>
      <c r="U1170" s="71">
        <f t="shared" ref="U1170" si="344">R1170/G1170</f>
        <v>0.56143342781629446</v>
      </c>
      <c r="V1170" s="128">
        <f>+I1170+O1048</f>
        <v>58628</v>
      </c>
      <c r="W1170" s="128">
        <f>+O1170-V1170</f>
        <v>0</v>
      </c>
      <c r="X1170" s="128">
        <f>+L1170+R1048</f>
        <v>58629.369999999995</v>
      </c>
      <c r="Y1170" s="128">
        <f>+R1170-X1170</f>
        <v>0</v>
      </c>
      <c r="Z1170" s="195">
        <f>+X1170/G1170</f>
        <v>0.56143342781629446</v>
      </c>
      <c r="AA1170" s="194">
        <f>+U1170-Z1170</f>
        <v>0</v>
      </c>
    </row>
    <row r="1171" spans="1:27" ht="15.75" thickBot="1">
      <c r="C1171" s="32"/>
      <c r="I1171" s="104">
        <f>SUM(I1158,I1170)</f>
        <v>32500</v>
      </c>
      <c r="J1171" s="130"/>
      <c r="K1171" s="130"/>
      <c r="L1171" s="104">
        <f>SUM(L1158,L1170)</f>
        <v>74124.11</v>
      </c>
      <c r="M1171" s="130"/>
      <c r="N1171" s="131"/>
      <c r="O1171" s="104">
        <f>SUM(O1158,O1170)</f>
        <v>642286</v>
      </c>
      <c r="P1171" s="130"/>
      <c r="Q1171" s="130"/>
      <c r="R1171" s="104">
        <f>SUM(R1158,R1170)</f>
        <v>537559.34</v>
      </c>
      <c r="U1171" s="33"/>
    </row>
    <row r="1172" spans="1:27" ht="15.75" thickBot="1">
      <c r="B1172" s="262" t="s">
        <v>31</v>
      </c>
      <c r="C1172" s="263"/>
      <c r="D1172" s="263"/>
      <c r="E1172" s="263"/>
      <c r="F1172" s="263"/>
      <c r="G1172" s="263"/>
      <c r="H1172" s="263"/>
      <c r="I1172" s="263"/>
      <c r="J1172" s="263"/>
      <c r="K1172" s="263"/>
      <c r="L1172" s="263"/>
      <c r="M1172" s="263"/>
      <c r="N1172" s="263"/>
      <c r="O1172" s="263"/>
      <c r="P1172" s="263"/>
      <c r="Q1172" s="263"/>
      <c r="R1172" s="263"/>
      <c r="S1172" s="263"/>
      <c r="T1172" s="263"/>
      <c r="U1172" s="263"/>
      <c r="V1172" s="34"/>
    </row>
    <row r="1173" spans="1:27" ht="15" customHeight="1" thickBot="1">
      <c r="B1173" s="264"/>
      <c r="C1173" s="265"/>
      <c r="D1173" s="267" t="s">
        <v>15</v>
      </c>
      <c r="E1173" s="268"/>
      <c r="F1173" s="268"/>
      <c r="G1173" s="268"/>
      <c r="H1173" s="268"/>
      <c r="I1173" s="269"/>
      <c r="J1173" s="267" t="s">
        <v>32</v>
      </c>
      <c r="K1173" s="268"/>
      <c r="L1173" s="268"/>
      <c r="M1173" s="268"/>
      <c r="N1173" s="268"/>
      <c r="O1173" s="269"/>
      <c r="P1173" s="267" t="s">
        <v>17</v>
      </c>
      <c r="Q1173" s="268"/>
      <c r="R1173" s="268"/>
      <c r="S1173" s="268"/>
      <c r="T1173" s="268"/>
      <c r="U1173" s="35"/>
    </row>
    <row r="1174" spans="1:27" ht="15.75" customHeight="1" thickBot="1">
      <c r="B1174" s="219"/>
      <c r="C1174" s="266"/>
      <c r="D1174" s="270" t="s">
        <v>26</v>
      </c>
      <c r="E1174" s="271"/>
      <c r="F1174" s="272" t="s">
        <v>27</v>
      </c>
      <c r="G1174" s="273"/>
      <c r="H1174" s="268" t="s">
        <v>28</v>
      </c>
      <c r="I1174" s="269"/>
      <c r="J1174" s="272" t="s">
        <v>26</v>
      </c>
      <c r="K1174" s="273"/>
      <c r="L1174" s="272" t="s">
        <v>27</v>
      </c>
      <c r="M1174" s="273"/>
      <c r="N1174" s="268" t="s">
        <v>28</v>
      </c>
      <c r="O1174" s="269"/>
      <c r="P1174" s="272" t="s">
        <v>26</v>
      </c>
      <c r="Q1174" s="273"/>
      <c r="R1174" s="272" t="s">
        <v>27</v>
      </c>
      <c r="S1174" s="273"/>
      <c r="T1174" s="268" t="s">
        <v>28</v>
      </c>
      <c r="U1174" s="269"/>
    </row>
    <row r="1175" spans="1:27" ht="30" customHeight="1">
      <c r="A1175" s="23"/>
      <c r="B1175" s="250" t="s">
        <v>33</v>
      </c>
      <c r="C1175" s="251"/>
      <c r="D1175" s="252">
        <v>675408</v>
      </c>
      <c r="E1175" s="253"/>
      <c r="F1175" s="252">
        <v>0</v>
      </c>
      <c r="G1175" s="253"/>
      <c r="H1175" s="252">
        <v>0</v>
      </c>
      <c r="I1175" s="253"/>
      <c r="J1175" s="254">
        <v>70799.87</v>
      </c>
      <c r="K1175" s="255"/>
      <c r="L1175" s="240">
        <v>0</v>
      </c>
      <c r="M1175" s="253"/>
      <c r="N1175" s="240">
        <v>0</v>
      </c>
      <c r="O1175" s="256"/>
      <c r="P1175" s="254">
        <f>23416.71+27887.03+23419.61+20279.25+15856.72+25980.18+94293.4+96348.75+80648.45+70799.87</f>
        <v>478929.97000000003</v>
      </c>
      <c r="Q1175" s="255"/>
      <c r="R1175" s="240">
        <v>0</v>
      </c>
      <c r="S1175" s="253"/>
      <c r="T1175" s="240">
        <v>0</v>
      </c>
      <c r="U1175" s="241"/>
    </row>
    <row r="1176" spans="1:27" ht="30" customHeight="1" thickBot="1">
      <c r="A1176" s="4"/>
      <c r="B1176" s="242" t="s">
        <v>34</v>
      </c>
      <c r="C1176" s="243"/>
      <c r="D1176" s="244">
        <v>104428</v>
      </c>
      <c r="E1176" s="245"/>
      <c r="F1176" s="244">
        <v>0</v>
      </c>
      <c r="G1176" s="245"/>
      <c r="H1176" s="244">
        <v>0</v>
      </c>
      <c r="I1176" s="245"/>
      <c r="J1176" s="244">
        <v>3324.24</v>
      </c>
      <c r="K1176" s="245"/>
      <c r="L1176" s="246">
        <v>0</v>
      </c>
      <c r="M1176" s="245"/>
      <c r="N1176" s="246">
        <v>0</v>
      </c>
      <c r="O1176" s="247"/>
      <c r="P1176" s="248">
        <f>0+0+0+12328+6710.67+9289.33+1952.17+6093.87+18931.09+3324.24</f>
        <v>58629.37</v>
      </c>
      <c r="Q1176" s="249"/>
      <c r="R1176" s="246">
        <v>0</v>
      </c>
      <c r="S1176" s="245"/>
      <c r="T1176" s="246">
        <v>0</v>
      </c>
      <c r="U1176" s="247"/>
    </row>
    <row r="1177" spans="1:27" ht="15.75" thickBot="1">
      <c r="A1177" s="23"/>
      <c r="B1177" s="233" t="s">
        <v>21</v>
      </c>
      <c r="C1177" s="234"/>
      <c r="D1177" s="235">
        <f>SUM(D1175:E1176)</f>
        <v>779836</v>
      </c>
      <c r="E1177" s="236"/>
      <c r="F1177" s="235">
        <f>SUM(F1175:G1176)</f>
        <v>0</v>
      </c>
      <c r="G1177" s="236"/>
      <c r="H1177" s="235">
        <f>SUM(H1175:I1176)</f>
        <v>0</v>
      </c>
      <c r="I1177" s="236"/>
      <c r="J1177" s="237">
        <f>SUM(J1175:K1176)</f>
        <v>74124.11</v>
      </c>
      <c r="K1177" s="238"/>
      <c r="L1177" s="215">
        <f>SUM(L1175:M1176)</f>
        <v>0</v>
      </c>
      <c r="M1177" s="238"/>
      <c r="N1177" s="236">
        <f>SUM(N1175:O1176)</f>
        <v>0</v>
      </c>
      <c r="O1177" s="236"/>
      <c r="P1177" s="237">
        <f>SUM(P1175:Q1176)</f>
        <v>537559.34000000008</v>
      </c>
      <c r="Q1177" s="239"/>
      <c r="R1177" s="215">
        <f>SUM(R1175:S1176)</f>
        <v>0</v>
      </c>
      <c r="S1177" s="238"/>
      <c r="T1177" s="215">
        <f>SUM(T1175:U1176)</f>
        <v>0</v>
      </c>
      <c r="U1177" s="216"/>
    </row>
    <row r="1178" spans="1:27">
      <c r="A1178" s="23"/>
      <c r="B1178" s="147"/>
      <c r="C1178" s="147"/>
      <c r="D1178" s="147"/>
      <c r="E1178" s="147"/>
      <c r="F1178" s="144"/>
      <c r="G1178" s="144"/>
      <c r="H1178" s="143"/>
      <c r="I1178" s="143"/>
      <c r="J1178" s="144"/>
      <c r="K1178" s="144"/>
      <c r="L1178" s="115"/>
      <c r="M1178" s="143"/>
      <c r="N1178" s="144"/>
      <c r="O1178" s="143"/>
      <c r="P1178" s="143"/>
      <c r="Q1178" s="144"/>
      <c r="R1178" s="23"/>
      <c r="S1178" s="23"/>
      <c r="T1178" s="23"/>
      <c r="U1178" s="23"/>
    </row>
    <row r="1179" spans="1:27" ht="15.75" thickBot="1">
      <c r="A1179" s="23"/>
      <c r="B1179" s="147"/>
      <c r="C1179" s="147"/>
      <c r="D1179" s="147"/>
      <c r="E1179" s="147"/>
      <c r="F1179" s="144"/>
      <c r="G1179" s="144"/>
      <c r="H1179" s="144"/>
      <c r="I1179" s="144"/>
      <c r="J1179" s="144"/>
      <c r="K1179" s="144"/>
      <c r="L1179" s="144"/>
      <c r="M1179" s="144"/>
      <c r="N1179" s="144"/>
      <c r="O1179" s="144"/>
      <c r="P1179" s="144"/>
      <c r="Q1179" s="144"/>
      <c r="R1179" s="23"/>
      <c r="S1179" s="23"/>
      <c r="T1179" s="23"/>
      <c r="U1179" s="23"/>
    </row>
    <row r="1180" spans="1:27" ht="15.75" thickBot="1">
      <c r="B1180" s="217" t="s">
        <v>35</v>
      </c>
      <c r="C1180" s="218"/>
      <c r="D1180" s="218"/>
      <c r="E1180" s="219"/>
      <c r="F1180" s="205"/>
      <c r="G1180" s="205"/>
      <c r="H1180" s="205"/>
      <c r="I1180" s="205"/>
      <c r="J1180" s="205"/>
      <c r="K1180" s="205"/>
      <c r="L1180" s="205"/>
      <c r="M1180" s="205"/>
      <c r="N1180" s="205"/>
      <c r="O1180" s="205"/>
      <c r="P1180" s="205"/>
      <c r="Q1180" s="205"/>
      <c r="R1180" s="205"/>
      <c r="S1180" s="205"/>
      <c r="T1180" s="205"/>
      <c r="U1180" s="205"/>
    </row>
    <row r="1181" spans="1:27">
      <c r="B1181" s="444"/>
      <c r="C1181" s="445"/>
      <c r="D1181" s="445"/>
      <c r="E1181" s="445"/>
      <c r="F1181" s="445"/>
      <c r="G1181" s="445"/>
      <c r="H1181" s="445"/>
      <c r="I1181" s="445"/>
      <c r="J1181" s="445"/>
      <c r="K1181" s="445"/>
      <c r="L1181" s="445"/>
      <c r="M1181" s="445"/>
      <c r="N1181" s="445"/>
      <c r="O1181" s="445"/>
      <c r="P1181" s="445"/>
      <c r="Q1181" s="445"/>
      <c r="R1181" s="445"/>
      <c r="S1181" s="445"/>
      <c r="T1181" s="445"/>
      <c r="U1181" s="446"/>
    </row>
    <row r="1182" spans="1:27">
      <c r="B1182" s="447"/>
      <c r="C1182" s="448"/>
      <c r="D1182" s="448"/>
      <c r="E1182" s="448"/>
      <c r="F1182" s="448"/>
      <c r="G1182" s="448"/>
      <c r="H1182" s="448"/>
      <c r="I1182" s="448"/>
      <c r="J1182" s="448"/>
      <c r="K1182" s="448"/>
      <c r="L1182" s="448"/>
      <c r="M1182" s="448"/>
      <c r="N1182" s="448"/>
      <c r="O1182" s="448"/>
      <c r="P1182" s="448"/>
      <c r="Q1182" s="448"/>
      <c r="R1182" s="448"/>
      <c r="S1182" s="448"/>
      <c r="T1182" s="448"/>
      <c r="U1182" s="449"/>
    </row>
    <row r="1183" spans="1:27">
      <c r="B1183" s="447"/>
      <c r="C1183" s="448"/>
      <c r="D1183" s="448"/>
      <c r="E1183" s="448"/>
      <c r="F1183" s="448"/>
      <c r="G1183" s="448"/>
      <c r="H1183" s="448"/>
      <c r="I1183" s="448"/>
      <c r="J1183" s="448"/>
      <c r="K1183" s="448"/>
      <c r="L1183" s="448"/>
      <c r="M1183" s="448"/>
      <c r="N1183" s="448"/>
      <c r="O1183" s="448"/>
      <c r="P1183" s="448"/>
      <c r="Q1183" s="448"/>
      <c r="R1183" s="448"/>
      <c r="S1183" s="448"/>
      <c r="T1183" s="448"/>
      <c r="U1183" s="449"/>
    </row>
    <row r="1184" spans="1:27">
      <c r="B1184" s="447"/>
      <c r="C1184" s="448"/>
      <c r="D1184" s="448"/>
      <c r="E1184" s="448"/>
      <c r="F1184" s="448"/>
      <c r="G1184" s="448"/>
      <c r="H1184" s="448"/>
      <c r="I1184" s="448"/>
      <c r="J1184" s="448"/>
      <c r="K1184" s="448"/>
      <c r="L1184" s="448"/>
      <c r="M1184" s="448"/>
      <c r="N1184" s="448"/>
      <c r="O1184" s="448"/>
      <c r="P1184" s="448"/>
      <c r="Q1184" s="448"/>
      <c r="R1184" s="448"/>
      <c r="S1184" s="448"/>
      <c r="T1184" s="448"/>
      <c r="U1184" s="449"/>
    </row>
    <row r="1185" spans="2:21">
      <c r="B1185" s="447"/>
      <c r="C1185" s="448"/>
      <c r="D1185" s="448"/>
      <c r="E1185" s="448"/>
      <c r="F1185" s="448"/>
      <c r="G1185" s="448"/>
      <c r="H1185" s="448"/>
      <c r="I1185" s="448"/>
      <c r="J1185" s="448"/>
      <c r="K1185" s="448"/>
      <c r="L1185" s="448"/>
      <c r="M1185" s="448"/>
      <c r="N1185" s="448"/>
      <c r="O1185" s="448"/>
      <c r="P1185" s="448"/>
      <c r="Q1185" s="448"/>
      <c r="R1185" s="448"/>
      <c r="S1185" s="448"/>
      <c r="T1185" s="448"/>
      <c r="U1185" s="449"/>
    </row>
    <row r="1186" spans="2:21">
      <c r="B1186" s="447"/>
      <c r="C1186" s="448"/>
      <c r="D1186" s="448"/>
      <c r="E1186" s="448"/>
      <c r="F1186" s="448"/>
      <c r="G1186" s="448"/>
      <c r="H1186" s="448"/>
      <c r="I1186" s="448"/>
      <c r="J1186" s="448"/>
      <c r="K1186" s="448"/>
      <c r="L1186" s="448"/>
      <c r="M1186" s="448"/>
      <c r="N1186" s="448"/>
      <c r="O1186" s="448"/>
      <c r="P1186" s="448"/>
      <c r="Q1186" s="448"/>
      <c r="R1186" s="448"/>
      <c r="S1186" s="448"/>
      <c r="T1186" s="448"/>
      <c r="U1186" s="449"/>
    </row>
    <row r="1187" spans="2:21" ht="15.75" thickBot="1">
      <c r="B1187" s="450"/>
      <c r="C1187" s="451"/>
      <c r="D1187" s="451"/>
      <c r="E1187" s="451"/>
      <c r="F1187" s="451"/>
      <c r="G1187" s="451"/>
      <c r="H1187" s="451"/>
      <c r="I1187" s="451"/>
      <c r="J1187" s="451"/>
      <c r="K1187" s="451"/>
      <c r="L1187" s="451"/>
      <c r="M1187" s="451"/>
      <c r="N1187" s="451"/>
      <c r="O1187" s="451"/>
      <c r="P1187" s="451"/>
      <c r="Q1187" s="451"/>
      <c r="R1187" s="451"/>
      <c r="S1187" s="451"/>
      <c r="T1187" s="451"/>
      <c r="U1187" s="452"/>
    </row>
    <row r="1188" spans="2:21">
      <c r="B1188" s="23"/>
    </row>
    <row r="1189" spans="2:21">
      <c r="H1189" s="40"/>
      <c r="I1189" s="40"/>
      <c r="O1189" s="40"/>
      <c r="Q1189" s="40"/>
    </row>
    <row r="1190" spans="2:21">
      <c r="B1190" s="220" t="s">
        <v>38</v>
      </c>
      <c r="C1190" s="220"/>
      <c r="D1190" s="220"/>
      <c r="E1190" s="220"/>
      <c r="F1190" s="220"/>
      <c r="G1190" s="220"/>
      <c r="I1190" s="41"/>
      <c r="J1190" s="213" t="s">
        <v>36</v>
      </c>
      <c r="K1190" s="213"/>
      <c r="L1190" s="213"/>
      <c r="M1190" s="213"/>
      <c r="N1190" s="213"/>
      <c r="O1190" s="213"/>
      <c r="R1190" s="213" t="s">
        <v>37</v>
      </c>
      <c r="S1190" s="213"/>
      <c r="T1190" s="213"/>
      <c r="U1190" s="213"/>
    </row>
    <row r="1191" spans="2:21">
      <c r="B1191" s="220"/>
      <c r="C1191" s="220"/>
      <c r="D1191" s="220"/>
      <c r="E1191" s="220"/>
      <c r="F1191" s="220"/>
      <c r="G1191" s="220"/>
      <c r="H1191" s="42"/>
      <c r="I1191" s="42"/>
      <c r="J1191" s="221"/>
      <c r="K1191" s="221"/>
      <c r="L1191" s="221"/>
      <c r="M1191" s="221"/>
      <c r="N1191" s="221"/>
      <c r="O1191" s="221"/>
      <c r="P1191" s="42"/>
      <c r="Q1191" s="42"/>
      <c r="R1191" s="210" t="s">
        <v>0</v>
      </c>
      <c r="S1191" s="210"/>
      <c r="T1191" s="210"/>
      <c r="U1191" s="210"/>
    </row>
    <row r="1192" spans="2:21">
      <c r="B1192" s="220"/>
      <c r="C1192" s="220"/>
      <c r="D1192" s="220"/>
      <c r="E1192" s="220"/>
      <c r="F1192" s="220"/>
      <c r="G1192" s="220"/>
      <c r="H1192" s="160"/>
      <c r="I1192" s="160"/>
      <c r="J1192" s="221"/>
      <c r="K1192" s="221"/>
      <c r="L1192" s="221"/>
      <c r="M1192" s="221"/>
      <c r="N1192" s="221"/>
      <c r="O1192" s="221"/>
      <c r="P1192" s="160"/>
      <c r="Q1192" s="160"/>
      <c r="R1192" s="210"/>
      <c r="S1192" s="210"/>
      <c r="T1192" s="210"/>
      <c r="U1192" s="210"/>
    </row>
    <row r="1193" spans="2:21">
      <c r="B1193" s="220"/>
      <c r="C1193" s="220"/>
      <c r="D1193" s="220"/>
      <c r="E1193" s="220"/>
      <c r="F1193" s="220"/>
      <c r="G1193" s="220"/>
      <c r="H1193" s="160"/>
      <c r="I1193" s="160"/>
      <c r="J1193" s="221"/>
      <c r="K1193" s="221"/>
      <c r="L1193" s="221"/>
      <c r="M1193" s="221"/>
      <c r="N1193" s="221"/>
      <c r="O1193" s="221"/>
      <c r="P1193" s="160"/>
      <c r="Q1193" s="160"/>
      <c r="R1193" s="210"/>
      <c r="S1193" s="210"/>
      <c r="T1193" s="210"/>
      <c r="U1193" s="210"/>
    </row>
    <row r="1194" spans="2:21">
      <c r="B1194" s="220"/>
      <c r="C1194" s="220"/>
      <c r="D1194" s="220"/>
      <c r="E1194" s="220"/>
      <c r="F1194" s="220"/>
      <c r="G1194" s="220"/>
      <c r="H1194" s="160"/>
      <c r="I1194" s="160"/>
      <c r="J1194" s="221"/>
      <c r="K1194" s="221"/>
      <c r="L1194" s="221"/>
      <c r="M1194" s="221"/>
      <c r="N1194" s="221"/>
      <c r="O1194" s="221"/>
      <c r="P1194" s="160"/>
      <c r="Q1194" s="160"/>
      <c r="R1194" s="210"/>
      <c r="S1194" s="210"/>
      <c r="T1194" s="210"/>
      <c r="U1194" s="210"/>
    </row>
    <row r="1195" spans="2:21" ht="15.75" thickBot="1">
      <c r="B1195" s="223"/>
      <c r="C1195" s="223"/>
      <c r="D1195" s="223"/>
      <c r="E1195" s="223"/>
      <c r="F1195" s="223"/>
      <c r="G1195" s="223"/>
      <c r="J1195" s="222"/>
      <c r="K1195" s="222"/>
      <c r="L1195" s="222"/>
      <c r="M1195" s="222"/>
      <c r="N1195" s="222"/>
      <c r="O1195" s="222"/>
      <c r="R1195" s="205"/>
      <c r="S1195" s="205"/>
      <c r="T1195" s="205"/>
      <c r="U1195" s="205"/>
    </row>
    <row r="1196" spans="2:21">
      <c r="B1196" s="210" t="s">
        <v>101</v>
      </c>
      <c r="C1196" s="210"/>
      <c r="D1196" s="210"/>
      <c r="E1196" s="210"/>
      <c r="F1196" s="210"/>
      <c r="G1196" s="210"/>
      <c r="J1196" s="204" t="s">
        <v>102</v>
      </c>
      <c r="K1196" s="204"/>
      <c r="L1196" s="204"/>
      <c r="M1196" s="204"/>
      <c r="N1196" s="204"/>
      <c r="O1196" s="204"/>
      <c r="R1196" s="211" t="s">
        <v>137</v>
      </c>
      <c r="S1196" s="211"/>
      <c r="T1196" s="211"/>
      <c r="U1196" s="211"/>
    </row>
    <row r="1197" spans="2:21">
      <c r="B1197" s="204" t="s">
        <v>103</v>
      </c>
      <c r="C1197" s="204"/>
      <c r="D1197" s="204"/>
      <c r="E1197" s="204"/>
      <c r="F1197" s="204"/>
      <c r="G1197" s="204"/>
      <c r="J1197" s="212" t="s">
        <v>104</v>
      </c>
      <c r="K1197" s="212"/>
      <c r="L1197" s="212"/>
      <c r="M1197" s="212"/>
      <c r="N1197" s="212"/>
      <c r="O1197" s="212"/>
      <c r="P1197" s="118"/>
      <c r="Q1197" s="118"/>
      <c r="R1197" s="212" t="s">
        <v>105</v>
      </c>
      <c r="S1197" s="212"/>
      <c r="T1197" s="212"/>
      <c r="U1197" s="212"/>
    </row>
    <row r="1199" spans="2:21">
      <c r="J1199" s="213" t="s">
        <v>50</v>
      </c>
      <c r="K1199" s="213"/>
      <c r="L1199" s="213"/>
      <c r="M1199" s="213"/>
      <c r="N1199" s="213"/>
      <c r="O1199" s="213"/>
    </row>
    <row r="1200" spans="2:21">
      <c r="C1200" s="214" t="s">
        <v>157</v>
      </c>
      <c r="D1200" s="214"/>
      <c r="E1200" s="214"/>
      <c r="F1200" s="214"/>
      <c r="J1200" s="206" t="s">
        <v>48</v>
      </c>
      <c r="K1200" s="206"/>
      <c r="L1200" s="206"/>
      <c r="M1200" s="206"/>
      <c r="N1200" s="206"/>
      <c r="O1200" s="206"/>
      <c r="R1200" s="206" t="s">
        <v>51</v>
      </c>
      <c r="S1200" s="206"/>
      <c r="T1200" s="206"/>
      <c r="U1200" s="206"/>
    </row>
    <row r="1201" spans="2:21">
      <c r="B1201" s="204"/>
      <c r="C1201" s="204"/>
      <c r="D1201" s="204"/>
      <c r="E1201" s="204"/>
      <c r="F1201" s="204"/>
      <c r="G1201" s="204"/>
      <c r="J1201" s="206"/>
      <c r="K1201" s="206"/>
      <c r="L1201" s="206"/>
      <c r="M1201" s="206"/>
      <c r="N1201" s="206"/>
      <c r="O1201" s="206"/>
      <c r="R1201" s="204"/>
      <c r="S1201" s="204"/>
      <c r="T1201" s="204"/>
      <c r="U1201" s="204"/>
    </row>
    <row r="1202" spans="2:21">
      <c r="B1202" s="204"/>
      <c r="C1202" s="204"/>
      <c r="D1202" s="204"/>
      <c r="E1202" s="204"/>
      <c r="F1202" s="204"/>
      <c r="G1202" s="204"/>
      <c r="J1202" s="206"/>
      <c r="K1202" s="206"/>
      <c r="L1202" s="206"/>
      <c r="M1202" s="206"/>
      <c r="N1202" s="206"/>
      <c r="O1202" s="206"/>
      <c r="R1202" s="204"/>
      <c r="S1202" s="204"/>
      <c r="T1202" s="204"/>
      <c r="U1202" s="204"/>
    </row>
    <row r="1203" spans="2:21">
      <c r="B1203" s="204"/>
      <c r="C1203" s="204"/>
      <c r="D1203" s="204"/>
      <c r="E1203" s="204"/>
      <c r="F1203" s="204"/>
      <c r="G1203" s="204"/>
      <c r="J1203" s="206"/>
      <c r="K1203" s="206"/>
      <c r="L1203" s="206"/>
      <c r="M1203" s="206"/>
      <c r="N1203" s="206"/>
      <c r="O1203" s="206"/>
      <c r="R1203" s="204"/>
      <c r="S1203" s="204"/>
      <c r="T1203" s="204"/>
      <c r="U1203" s="204"/>
    </row>
    <row r="1204" spans="2:21" ht="15.75" thickBot="1">
      <c r="B1204" s="205"/>
      <c r="C1204" s="205"/>
      <c r="D1204" s="205"/>
      <c r="E1204" s="205"/>
      <c r="F1204" s="205"/>
      <c r="G1204" s="205"/>
      <c r="H1204" s="51"/>
      <c r="I1204" s="51"/>
      <c r="J1204" s="207"/>
      <c r="K1204" s="207"/>
      <c r="L1204" s="207"/>
      <c r="M1204" s="207"/>
      <c r="N1204" s="207"/>
      <c r="O1204" s="207"/>
      <c r="P1204" s="51"/>
      <c r="Q1204" s="51"/>
      <c r="R1204" s="205"/>
      <c r="S1204" s="205"/>
      <c r="T1204" s="205"/>
      <c r="U1204" s="205"/>
    </row>
    <row r="1205" spans="2:21">
      <c r="B1205" s="208" t="s">
        <v>106</v>
      </c>
      <c r="C1205" s="208"/>
      <c r="D1205" s="208"/>
      <c r="E1205" s="208"/>
      <c r="F1205" s="208"/>
      <c r="G1205" s="208"/>
      <c r="H1205" s="119"/>
      <c r="I1205" s="119"/>
      <c r="J1205" s="208" t="s">
        <v>107</v>
      </c>
      <c r="K1205" s="208"/>
      <c r="L1205" s="208"/>
      <c r="M1205" s="208"/>
      <c r="N1205" s="208"/>
      <c r="O1205" s="208"/>
      <c r="P1205" s="51"/>
      <c r="Q1205" s="51"/>
      <c r="R1205" s="208" t="s">
        <v>108</v>
      </c>
      <c r="S1205" s="208"/>
      <c r="T1205" s="208"/>
      <c r="U1205" s="208"/>
    </row>
    <row r="1206" spans="2:21" ht="32.25" customHeight="1">
      <c r="B1206" s="209" t="s">
        <v>109</v>
      </c>
      <c r="C1206" s="209"/>
      <c r="D1206" s="209"/>
      <c r="E1206" s="209"/>
      <c r="F1206" s="209"/>
      <c r="G1206" s="209"/>
      <c r="J1206" s="209" t="s">
        <v>110</v>
      </c>
      <c r="K1206" s="209"/>
      <c r="L1206" s="209"/>
      <c r="M1206" s="209"/>
      <c r="N1206" s="209"/>
      <c r="O1206" s="209"/>
      <c r="R1206" s="209" t="s">
        <v>111</v>
      </c>
      <c r="S1206" s="209"/>
      <c r="T1206" s="209"/>
      <c r="U1206" s="209"/>
    </row>
    <row r="1209" spans="2:21" ht="23.25">
      <c r="B1209" s="443" t="s">
        <v>138</v>
      </c>
      <c r="C1209" s="443"/>
      <c r="D1209" s="443"/>
      <c r="E1209" s="443"/>
      <c r="F1209" s="443"/>
      <c r="G1209" s="443"/>
      <c r="H1209" s="443"/>
      <c r="I1209" s="443"/>
      <c r="J1209" s="443"/>
      <c r="K1209" s="443"/>
      <c r="L1209" s="443"/>
      <c r="M1209" s="443"/>
      <c r="N1209" s="443"/>
      <c r="O1209" s="443"/>
      <c r="P1209" s="443"/>
      <c r="Q1209" s="443"/>
      <c r="R1209" s="443"/>
      <c r="S1209" s="443"/>
      <c r="T1209" s="443"/>
      <c r="U1209" s="443"/>
    </row>
    <row r="1212" spans="2:21" ht="15" customHeight="1"/>
    <row r="1213" spans="2:21" ht="15" customHeight="1">
      <c r="F1213" s="1"/>
      <c r="G1213" s="1"/>
      <c r="H1213" s="1"/>
      <c r="I1213" s="1"/>
      <c r="J1213" s="1"/>
      <c r="K1213" s="1"/>
      <c r="L1213" s="1"/>
      <c r="M1213" s="1"/>
      <c r="N1213" s="1"/>
      <c r="O1213" s="1"/>
    </row>
    <row r="1214" spans="2:21" ht="15" customHeight="1">
      <c r="B1214" s="427" t="s">
        <v>125</v>
      </c>
      <c r="C1214" s="427"/>
      <c r="D1214" s="427"/>
      <c r="E1214" s="427"/>
      <c r="F1214" s="427"/>
      <c r="G1214" s="427"/>
      <c r="H1214" s="427"/>
      <c r="I1214" s="427"/>
      <c r="J1214" s="427"/>
      <c r="K1214" s="427"/>
      <c r="L1214" s="427"/>
      <c r="M1214" s="427"/>
      <c r="N1214" s="427"/>
      <c r="O1214" s="427"/>
      <c r="P1214" s="427"/>
      <c r="Q1214" s="427"/>
      <c r="R1214" s="427"/>
      <c r="S1214" s="427"/>
      <c r="T1214" s="427"/>
      <c r="U1214" s="427"/>
    </row>
    <row r="1215" spans="2:21" ht="15" customHeight="1">
      <c r="F1215" t="s">
        <v>0</v>
      </c>
    </row>
    <row r="1216" spans="2:21" ht="15" customHeight="1">
      <c r="B1216" s="2"/>
      <c r="C1216" s="2"/>
      <c r="D1216" s="2"/>
      <c r="E1216" s="2"/>
      <c r="F1216" s="2"/>
      <c r="G1216" s="2"/>
      <c r="H1216" s="2"/>
      <c r="I1216" s="2"/>
      <c r="J1216" s="2"/>
      <c r="K1216" s="2"/>
      <c r="L1216" s="2"/>
      <c r="M1216" s="2"/>
      <c r="N1216" s="2"/>
      <c r="O1216" s="2"/>
      <c r="P1216" s="2"/>
      <c r="Q1216" s="2"/>
      <c r="R1216" s="2"/>
      <c r="S1216" s="2"/>
      <c r="T1216" s="2"/>
      <c r="U1216" s="2"/>
    </row>
    <row r="1217" spans="1:27" ht="15" customHeight="1" thickBot="1">
      <c r="B1217" s="3"/>
      <c r="C1217" s="3"/>
      <c r="D1217" s="3"/>
      <c r="E1217" s="3"/>
      <c r="F1217" s="3"/>
      <c r="G1217" s="3"/>
      <c r="H1217" s="3"/>
      <c r="I1217" s="3"/>
      <c r="J1217" s="3"/>
      <c r="K1217" s="3"/>
      <c r="L1217" s="3"/>
      <c r="M1217" s="3"/>
      <c r="N1217" s="3"/>
      <c r="O1217" s="3"/>
      <c r="P1217" s="3"/>
      <c r="Q1217" s="3"/>
      <c r="R1217" s="3"/>
      <c r="S1217" s="3"/>
      <c r="T1217" s="3"/>
      <c r="U1217" s="3"/>
    </row>
    <row r="1218" spans="1:27" ht="15" customHeight="1">
      <c r="B1218" s="385" t="s">
        <v>1</v>
      </c>
      <c r="C1218" s="386"/>
      <c r="D1218" s="386"/>
      <c r="E1218" s="386"/>
      <c r="F1218" s="387"/>
      <c r="G1218" s="428" t="s">
        <v>164</v>
      </c>
      <c r="H1218" s="429"/>
      <c r="I1218" s="429"/>
      <c r="J1218" s="429"/>
      <c r="K1218" s="429"/>
      <c r="L1218" s="429"/>
      <c r="M1218" s="429"/>
      <c r="N1218" s="429"/>
      <c r="O1218" s="429"/>
      <c r="P1218" s="429"/>
      <c r="Q1218" s="429"/>
      <c r="R1218" s="429"/>
      <c r="S1218" s="429"/>
      <c r="T1218" s="429"/>
      <c r="U1218" s="430"/>
    </row>
    <row r="1219" spans="1:27" ht="15" customHeight="1">
      <c r="A1219" s="4"/>
      <c r="B1219" s="431" t="s">
        <v>2</v>
      </c>
      <c r="C1219" s="432"/>
      <c r="D1219" s="432"/>
      <c r="E1219" s="432"/>
      <c r="F1219" s="433"/>
      <c r="G1219" s="434" t="s">
        <v>163</v>
      </c>
      <c r="H1219" s="435"/>
      <c r="I1219" s="435"/>
      <c r="J1219" s="435"/>
      <c r="K1219" s="435"/>
      <c r="L1219" s="435"/>
      <c r="M1219" s="435"/>
      <c r="N1219" s="435"/>
      <c r="O1219" s="435"/>
      <c r="P1219" s="435"/>
      <c r="Q1219" s="435"/>
      <c r="R1219" s="435"/>
      <c r="S1219" s="435"/>
      <c r="T1219" s="435"/>
      <c r="U1219" s="436"/>
    </row>
    <row r="1220" spans="1:27" ht="15" customHeight="1">
      <c r="A1220" s="4"/>
      <c r="B1220" s="385" t="s">
        <v>3</v>
      </c>
      <c r="C1220" s="386"/>
      <c r="D1220" s="386"/>
      <c r="E1220" s="386"/>
      <c r="F1220" s="387"/>
      <c r="G1220" s="437" t="s">
        <v>156</v>
      </c>
      <c r="H1220" s="438"/>
      <c r="I1220" s="438"/>
      <c r="J1220" s="438"/>
      <c r="K1220" s="438"/>
      <c r="L1220" s="438"/>
      <c r="M1220" s="438"/>
      <c r="N1220" s="438"/>
      <c r="O1220" s="438"/>
      <c r="P1220" s="438"/>
      <c r="Q1220" s="438"/>
      <c r="R1220" s="438"/>
      <c r="S1220" s="438"/>
      <c r="T1220" s="438"/>
      <c r="U1220" s="439"/>
    </row>
    <row r="1221" spans="1:27" ht="15" customHeight="1">
      <c r="A1221" s="4"/>
      <c r="B1221" s="385" t="s">
        <v>4</v>
      </c>
      <c r="C1221" s="386"/>
      <c r="D1221" s="386"/>
      <c r="E1221" s="386"/>
      <c r="F1221" s="387"/>
      <c r="G1221" s="440" t="s">
        <v>165</v>
      </c>
      <c r="H1221" s="441"/>
      <c r="I1221" s="441"/>
      <c r="J1221" s="441"/>
      <c r="K1221" s="441"/>
      <c r="L1221" s="441"/>
      <c r="M1221" s="441"/>
      <c r="N1221" s="441"/>
      <c r="O1221" s="441"/>
      <c r="P1221" s="441"/>
      <c r="Q1221" s="441"/>
      <c r="R1221" s="441"/>
      <c r="S1221" s="441"/>
      <c r="T1221" s="441"/>
      <c r="U1221" s="442"/>
    </row>
    <row r="1222" spans="1:27" ht="15" customHeight="1">
      <c r="A1222" s="4"/>
      <c r="B1222" s="385" t="s">
        <v>5</v>
      </c>
      <c r="C1222" s="386"/>
      <c r="D1222" s="386"/>
      <c r="E1222" s="386"/>
      <c r="F1222" s="387"/>
      <c r="G1222" s="410" t="s">
        <v>6</v>
      </c>
      <c r="H1222" s="411"/>
      <c r="I1222" s="412">
        <v>779836</v>
      </c>
      <c r="J1222" s="413"/>
      <c r="K1222" s="413"/>
      <c r="L1222" s="414"/>
      <c r="M1222" s="5" t="s">
        <v>7</v>
      </c>
      <c r="N1222" s="412">
        <v>0</v>
      </c>
      <c r="O1222" s="413"/>
      <c r="P1222" s="413"/>
      <c r="Q1222" s="414"/>
      <c r="R1222" s="415" t="s">
        <v>8</v>
      </c>
      <c r="S1222" s="416"/>
      <c r="T1222" s="412">
        <v>0</v>
      </c>
      <c r="U1222" s="417"/>
    </row>
    <row r="1223" spans="1:27">
      <c r="A1223" s="4"/>
      <c r="B1223" s="385" t="s">
        <v>9</v>
      </c>
      <c r="C1223" s="386"/>
      <c r="D1223" s="386"/>
      <c r="E1223" s="386"/>
      <c r="F1223" s="387"/>
      <c r="G1223" s="418" t="s">
        <v>6</v>
      </c>
      <c r="H1223" s="419"/>
      <c r="I1223" s="412">
        <v>779836</v>
      </c>
      <c r="J1223" s="413"/>
      <c r="K1223" s="413"/>
      <c r="L1223" s="414"/>
      <c r="M1223" s="5" t="s">
        <v>7</v>
      </c>
      <c r="N1223" s="420">
        <v>0</v>
      </c>
      <c r="O1223" s="421"/>
      <c r="P1223" s="421"/>
      <c r="Q1223" s="422"/>
      <c r="R1223" s="423"/>
      <c r="S1223" s="424"/>
      <c r="T1223" s="424"/>
      <c r="U1223" s="425"/>
    </row>
    <row r="1224" spans="1:27" ht="15.75" thickBot="1">
      <c r="A1224" s="4"/>
      <c r="B1224" s="385" t="s">
        <v>10</v>
      </c>
      <c r="C1224" s="386"/>
      <c r="D1224" s="386"/>
      <c r="E1224" s="386"/>
      <c r="F1224" s="387"/>
      <c r="G1224" s="460" t="s">
        <v>139</v>
      </c>
      <c r="H1224" s="461"/>
      <c r="I1224" s="461"/>
      <c r="J1224" s="461"/>
      <c r="K1224" s="461"/>
      <c r="L1224" s="461"/>
      <c r="M1224" s="461"/>
      <c r="N1224" s="461"/>
      <c r="O1224" s="461"/>
      <c r="P1224" s="461"/>
      <c r="Q1224" s="461"/>
      <c r="R1224" s="461"/>
      <c r="S1224" s="461"/>
      <c r="T1224" s="461"/>
      <c r="U1224" s="462"/>
    </row>
    <row r="1225" spans="1:27" ht="15.75" customHeight="1" thickBot="1">
      <c r="A1225" s="4"/>
      <c r="B1225" s="391" t="s">
        <v>11</v>
      </c>
      <c r="C1225" s="392"/>
      <c r="D1225" s="392"/>
      <c r="E1225" s="392"/>
      <c r="F1225" s="393"/>
      <c r="G1225" s="394" t="s">
        <v>118</v>
      </c>
      <c r="H1225" s="395"/>
      <c r="I1225" s="395"/>
      <c r="J1225" s="395"/>
      <c r="K1225" s="395"/>
      <c r="L1225" s="395"/>
      <c r="M1225" s="395"/>
      <c r="N1225" s="395"/>
      <c r="O1225" s="395"/>
      <c r="P1225" s="395"/>
      <c r="Q1225" s="395"/>
      <c r="R1225" s="395"/>
      <c r="S1225" s="395"/>
      <c r="T1225" s="395"/>
      <c r="U1225" s="396"/>
    </row>
    <row r="1226" spans="1:27" ht="15.75" thickBot="1">
      <c r="B1226" s="397"/>
      <c r="C1226" s="397"/>
      <c r="D1226" s="397"/>
      <c r="E1226" s="397"/>
      <c r="F1226" s="397"/>
      <c r="G1226" s="397"/>
      <c r="H1226" s="397"/>
      <c r="I1226" s="397"/>
      <c r="J1226" s="397"/>
      <c r="K1226" s="397"/>
      <c r="L1226" s="397"/>
      <c r="M1226" s="397"/>
      <c r="N1226" s="397"/>
      <c r="O1226" s="397"/>
      <c r="P1226" s="397"/>
      <c r="Q1226" s="397"/>
      <c r="R1226" s="397"/>
      <c r="S1226" s="397"/>
      <c r="T1226" s="397"/>
      <c r="U1226" s="397"/>
    </row>
    <row r="1227" spans="1:27" ht="16.5" thickBot="1">
      <c r="A1227" s="4"/>
      <c r="B1227" s="306" t="s">
        <v>12</v>
      </c>
      <c r="C1227" s="307"/>
      <c r="D1227" s="308"/>
      <c r="E1227" s="307" t="s">
        <v>13</v>
      </c>
      <c r="F1227" s="308"/>
      <c r="G1227" s="312" t="s">
        <v>14</v>
      </c>
      <c r="H1227" s="313"/>
      <c r="I1227" s="313"/>
      <c r="J1227" s="313"/>
      <c r="K1227" s="313"/>
      <c r="L1227" s="313"/>
      <c r="M1227" s="313"/>
      <c r="N1227" s="313"/>
      <c r="O1227" s="313"/>
      <c r="P1227" s="313"/>
      <c r="Q1227" s="313"/>
      <c r="R1227" s="313"/>
      <c r="S1227" s="313"/>
      <c r="T1227" s="313"/>
      <c r="U1227" s="314"/>
    </row>
    <row r="1228" spans="1:27" ht="15.75" thickBot="1">
      <c r="A1228" s="4"/>
      <c r="B1228" s="309"/>
      <c r="C1228" s="310"/>
      <c r="D1228" s="311"/>
      <c r="E1228" s="310"/>
      <c r="F1228" s="311"/>
      <c r="G1228" s="315" t="s">
        <v>15</v>
      </c>
      <c r="H1228" s="316"/>
      <c r="I1228" s="267" t="s">
        <v>16</v>
      </c>
      <c r="J1228" s="268"/>
      <c r="K1228" s="268"/>
      <c r="L1228" s="268"/>
      <c r="M1228" s="268"/>
      <c r="N1228" s="269"/>
      <c r="O1228" s="403" t="s">
        <v>17</v>
      </c>
      <c r="P1228" s="404"/>
      <c r="Q1228" s="404"/>
      <c r="R1228" s="404"/>
      <c r="S1228" s="404"/>
      <c r="T1228" s="404"/>
      <c r="U1228" s="405"/>
    </row>
    <row r="1229" spans="1:27">
      <c r="A1229" s="4"/>
      <c r="B1229" s="309"/>
      <c r="C1229" s="310"/>
      <c r="D1229" s="311"/>
      <c r="E1229" s="310"/>
      <c r="F1229" s="311"/>
      <c r="G1229" s="317"/>
      <c r="H1229" s="318"/>
      <c r="I1229" s="315" t="s">
        <v>18</v>
      </c>
      <c r="J1229" s="406"/>
      <c r="K1229" s="406"/>
      <c r="L1229" s="315" t="s">
        <v>19</v>
      </c>
      <c r="M1229" s="406"/>
      <c r="N1229" s="316"/>
      <c r="O1229" s="408" t="s">
        <v>18</v>
      </c>
      <c r="P1229" s="409"/>
      <c r="Q1229" s="409"/>
      <c r="R1229" s="315" t="s">
        <v>19</v>
      </c>
      <c r="S1229" s="406"/>
      <c r="T1229" s="406"/>
      <c r="U1229" s="326" t="s">
        <v>20</v>
      </c>
      <c r="V1229" s="200" t="s">
        <v>153</v>
      </c>
      <c r="W1229" s="201"/>
      <c r="X1229" s="200" t="s">
        <v>154</v>
      </c>
      <c r="Y1229" s="201"/>
      <c r="Z1229" s="200" t="s">
        <v>155</v>
      </c>
      <c r="AA1229" s="201"/>
    </row>
    <row r="1230" spans="1:27" ht="15.75" thickBot="1">
      <c r="A1230" s="4"/>
      <c r="B1230" s="398"/>
      <c r="C1230" s="399"/>
      <c r="D1230" s="400"/>
      <c r="E1230" s="399"/>
      <c r="F1230" s="400"/>
      <c r="G1230" s="401"/>
      <c r="H1230" s="402"/>
      <c r="I1230" s="401"/>
      <c r="J1230" s="407"/>
      <c r="K1230" s="407"/>
      <c r="L1230" s="401"/>
      <c r="M1230" s="407"/>
      <c r="N1230" s="402"/>
      <c r="O1230" s="401"/>
      <c r="P1230" s="407"/>
      <c r="Q1230" s="407"/>
      <c r="R1230" s="401"/>
      <c r="S1230" s="407"/>
      <c r="T1230" s="407"/>
      <c r="U1230" s="327"/>
      <c r="V1230" s="202"/>
      <c r="W1230" s="203"/>
      <c r="X1230" s="202"/>
      <c r="Y1230" s="203"/>
      <c r="Z1230" s="202"/>
      <c r="AA1230" s="203"/>
    </row>
    <row r="1231" spans="1:27">
      <c r="A1231" s="4"/>
      <c r="B1231" s="372" t="s">
        <v>59</v>
      </c>
      <c r="C1231" s="373"/>
      <c r="D1231" s="374"/>
      <c r="E1231" s="375"/>
      <c r="F1231" s="376"/>
      <c r="G1231" s="377"/>
      <c r="H1231" s="378"/>
      <c r="I1231" s="379"/>
      <c r="J1231" s="380"/>
      <c r="K1231" s="378"/>
      <c r="L1231" s="381"/>
      <c r="M1231" s="380"/>
      <c r="N1231" s="382"/>
      <c r="O1231" s="383"/>
      <c r="P1231" s="384"/>
      <c r="Q1231" s="384"/>
      <c r="R1231" s="384"/>
      <c r="S1231" s="384"/>
      <c r="T1231" s="384"/>
      <c r="U1231" s="53"/>
    </row>
    <row r="1232" spans="1:27">
      <c r="A1232" s="4"/>
      <c r="B1232" s="354" t="s">
        <v>76</v>
      </c>
      <c r="C1232" s="362"/>
      <c r="D1232" s="363"/>
      <c r="E1232" s="364"/>
      <c r="F1232" s="365"/>
      <c r="G1232" s="366"/>
      <c r="H1232" s="367"/>
      <c r="I1232" s="371"/>
      <c r="J1232" s="370"/>
      <c r="K1232" s="370"/>
      <c r="L1232" s="370"/>
      <c r="M1232" s="370"/>
      <c r="N1232" s="365"/>
      <c r="O1232" s="368"/>
      <c r="P1232" s="369"/>
      <c r="Q1232" s="369"/>
      <c r="R1232" s="369"/>
      <c r="S1232" s="369"/>
      <c r="T1232" s="369"/>
      <c r="U1232" s="175"/>
    </row>
    <row r="1233" spans="1:27">
      <c r="A1233" s="4"/>
      <c r="B1233" s="328" t="s">
        <v>56</v>
      </c>
      <c r="C1233" s="329"/>
      <c r="D1233" s="330"/>
      <c r="E1233" s="331" t="s">
        <v>58</v>
      </c>
      <c r="F1233" s="332"/>
      <c r="G1233" s="348">
        <v>170</v>
      </c>
      <c r="H1233" s="359"/>
      <c r="I1233" s="350">
        <v>0</v>
      </c>
      <c r="J1233" s="351"/>
      <c r="K1233" s="349"/>
      <c r="L1233" s="350">
        <v>0</v>
      </c>
      <c r="M1233" s="351"/>
      <c r="N1233" s="352"/>
      <c r="O1233" s="340">
        <v>170</v>
      </c>
      <c r="P1233" s="341"/>
      <c r="Q1233" s="361"/>
      <c r="R1233" s="360">
        <v>170</v>
      </c>
      <c r="S1233" s="341"/>
      <c r="T1233" s="361"/>
      <c r="U1233" s="6">
        <f t="shared" ref="U1233" si="345">R1233/G1233</f>
        <v>1</v>
      </c>
      <c r="V1233" s="193">
        <f>+I1233+O1112</f>
        <v>170</v>
      </c>
      <c r="W1233" s="193">
        <f>+O1233-V1233</f>
        <v>0</v>
      </c>
      <c r="X1233" s="193">
        <f>+L1233+R1112</f>
        <v>170</v>
      </c>
      <c r="Y1233" s="193">
        <f>+R1233-X1233</f>
        <v>0</v>
      </c>
      <c r="Z1233" s="195">
        <f>+X1233/G1233</f>
        <v>1</v>
      </c>
      <c r="AA1233" s="194">
        <f>+U1233-Z1233</f>
        <v>0</v>
      </c>
    </row>
    <row r="1234" spans="1:27">
      <c r="A1234" s="4"/>
      <c r="B1234" s="328" t="s">
        <v>57</v>
      </c>
      <c r="C1234" s="329"/>
      <c r="D1234" s="330"/>
      <c r="E1234" s="331" t="s">
        <v>58</v>
      </c>
      <c r="F1234" s="332"/>
      <c r="G1234" s="348">
        <v>4405</v>
      </c>
      <c r="H1234" s="349"/>
      <c r="I1234" s="350">
        <v>349</v>
      </c>
      <c r="J1234" s="351"/>
      <c r="K1234" s="349"/>
      <c r="L1234" s="350">
        <v>349</v>
      </c>
      <c r="M1234" s="351"/>
      <c r="N1234" s="352"/>
      <c r="O1234" s="340">
        <f>340+340+340+417+418+340+340+340+395+446+349</f>
        <v>4065</v>
      </c>
      <c r="P1234" s="341"/>
      <c r="Q1234" s="361"/>
      <c r="R1234" s="360">
        <f>339+339+338+420+340+268+340+340+395+446+349</f>
        <v>3914</v>
      </c>
      <c r="S1234" s="341"/>
      <c r="T1234" s="361"/>
      <c r="U1234" s="54">
        <f>R1234/G1234</f>
        <v>0.88853575482406355</v>
      </c>
      <c r="V1234" s="193">
        <f>+I1234+O1113</f>
        <v>4065</v>
      </c>
      <c r="W1234" s="193">
        <f>+O1234-V1234</f>
        <v>0</v>
      </c>
      <c r="X1234" s="193">
        <f>+L1234+R1113</f>
        <v>3914</v>
      </c>
      <c r="Y1234" s="193">
        <f>+R1234-X1234</f>
        <v>0</v>
      </c>
      <c r="Z1234" s="195">
        <f>+X1234/G1234</f>
        <v>0.88853575482406355</v>
      </c>
      <c r="AA1234" s="194">
        <f>+U1234-Z1234</f>
        <v>0</v>
      </c>
    </row>
    <row r="1235" spans="1:27" ht="15" customHeight="1">
      <c r="A1235" s="4"/>
      <c r="B1235" s="354" t="s">
        <v>77</v>
      </c>
      <c r="C1235" s="362"/>
      <c r="D1235" s="363"/>
      <c r="E1235" s="364"/>
      <c r="F1235" s="365"/>
      <c r="G1235" s="366"/>
      <c r="H1235" s="367"/>
      <c r="I1235" s="371"/>
      <c r="J1235" s="370"/>
      <c r="K1235" s="370"/>
      <c r="L1235" s="370"/>
      <c r="M1235" s="370"/>
      <c r="N1235" s="365"/>
      <c r="O1235" s="368"/>
      <c r="P1235" s="369"/>
      <c r="Q1235" s="369"/>
      <c r="R1235" s="369"/>
      <c r="S1235" s="369"/>
      <c r="T1235" s="369"/>
      <c r="U1235" s="175"/>
    </row>
    <row r="1236" spans="1:27">
      <c r="A1236" s="4"/>
      <c r="B1236" s="328" t="s">
        <v>56</v>
      </c>
      <c r="C1236" s="329"/>
      <c r="D1236" s="330"/>
      <c r="E1236" s="331" t="s">
        <v>58</v>
      </c>
      <c r="F1236" s="332"/>
      <c r="G1236" s="348">
        <v>35</v>
      </c>
      <c r="H1236" s="359"/>
      <c r="I1236" s="350">
        <v>0</v>
      </c>
      <c r="J1236" s="351"/>
      <c r="K1236" s="349"/>
      <c r="L1236" s="350">
        <v>0</v>
      </c>
      <c r="M1236" s="351"/>
      <c r="N1236" s="352"/>
      <c r="O1236" s="340">
        <v>35</v>
      </c>
      <c r="P1236" s="341"/>
      <c r="Q1236" s="361"/>
      <c r="R1236" s="360">
        <v>35</v>
      </c>
      <c r="S1236" s="341"/>
      <c r="T1236" s="361"/>
      <c r="U1236" s="6">
        <f t="shared" ref="U1236" si="346">R1236/G1236</f>
        <v>1</v>
      </c>
      <c r="V1236" s="193">
        <f t="shared" ref="V1236:V1237" si="347">+I1236+O1115</f>
        <v>35</v>
      </c>
      <c r="W1236" s="193">
        <f t="shared" ref="W1236:W1237" si="348">+O1236-V1236</f>
        <v>0</v>
      </c>
      <c r="X1236" s="193">
        <f t="shared" ref="X1236:X1237" si="349">+L1236+R1115</f>
        <v>35</v>
      </c>
      <c r="Y1236" s="193">
        <f t="shared" ref="Y1236:Y1237" si="350">+R1236-X1236</f>
        <v>0</v>
      </c>
      <c r="Z1236" s="195">
        <f t="shared" ref="Z1236:Z1237" si="351">+X1236/G1236</f>
        <v>1</v>
      </c>
      <c r="AA1236" s="194">
        <f t="shared" ref="AA1236:AA1237" si="352">+U1236-Z1236</f>
        <v>0</v>
      </c>
    </row>
    <row r="1237" spans="1:27">
      <c r="A1237" s="4"/>
      <c r="B1237" s="328" t="s">
        <v>57</v>
      </c>
      <c r="C1237" s="329"/>
      <c r="D1237" s="330"/>
      <c r="E1237" s="331" t="s">
        <v>58</v>
      </c>
      <c r="F1237" s="332"/>
      <c r="G1237" s="348">
        <v>907</v>
      </c>
      <c r="H1237" s="349"/>
      <c r="I1237" s="360">
        <v>72</v>
      </c>
      <c r="J1237" s="341"/>
      <c r="K1237" s="361"/>
      <c r="L1237" s="350">
        <v>72</v>
      </c>
      <c r="M1237" s="351"/>
      <c r="N1237" s="352"/>
      <c r="O1237" s="340">
        <f>70+70+70+88+84+70+70+70+84+89+72</f>
        <v>837</v>
      </c>
      <c r="P1237" s="341"/>
      <c r="Q1237" s="361"/>
      <c r="R1237" s="360">
        <f>70+70+70+88+69+55+70+70+84+89+72</f>
        <v>807</v>
      </c>
      <c r="S1237" s="341"/>
      <c r="T1237" s="361"/>
      <c r="U1237" s="54">
        <f>R1237/G1237</f>
        <v>0.8897464167585446</v>
      </c>
      <c r="V1237" s="193">
        <f t="shared" si="347"/>
        <v>837</v>
      </c>
      <c r="W1237" s="193">
        <f t="shared" si="348"/>
        <v>0</v>
      </c>
      <c r="X1237" s="193">
        <f t="shared" si="349"/>
        <v>807</v>
      </c>
      <c r="Y1237" s="193">
        <f t="shared" si="350"/>
        <v>0</v>
      </c>
      <c r="Z1237" s="195">
        <f t="shared" si="351"/>
        <v>0.8897464167585446</v>
      </c>
      <c r="AA1237" s="194">
        <f t="shared" si="352"/>
        <v>0</v>
      </c>
    </row>
    <row r="1238" spans="1:27" ht="15" customHeight="1">
      <c r="A1238" s="4"/>
      <c r="B1238" s="354" t="s">
        <v>78</v>
      </c>
      <c r="C1238" s="362"/>
      <c r="D1238" s="363"/>
      <c r="E1238" s="364"/>
      <c r="F1238" s="365"/>
      <c r="G1238" s="366"/>
      <c r="H1238" s="367"/>
      <c r="I1238" s="368"/>
      <c r="J1238" s="369"/>
      <c r="K1238" s="369"/>
      <c r="L1238" s="370"/>
      <c r="M1238" s="370"/>
      <c r="N1238" s="365"/>
      <c r="O1238" s="368"/>
      <c r="P1238" s="369"/>
      <c r="Q1238" s="369"/>
      <c r="R1238" s="369"/>
      <c r="S1238" s="369"/>
      <c r="T1238" s="369"/>
      <c r="U1238" s="175"/>
    </row>
    <row r="1239" spans="1:27">
      <c r="A1239" s="4"/>
      <c r="B1239" s="328" t="s">
        <v>56</v>
      </c>
      <c r="C1239" s="329"/>
      <c r="D1239" s="330"/>
      <c r="E1239" s="331" t="s">
        <v>58</v>
      </c>
      <c r="F1239" s="332"/>
      <c r="G1239" s="348">
        <v>35</v>
      </c>
      <c r="H1239" s="359"/>
      <c r="I1239" s="360">
        <v>0</v>
      </c>
      <c r="J1239" s="341"/>
      <c r="K1239" s="361"/>
      <c r="L1239" s="350">
        <v>0</v>
      </c>
      <c r="M1239" s="351"/>
      <c r="N1239" s="352"/>
      <c r="O1239" s="340">
        <v>35</v>
      </c>
      <c r="P1239" s="341"/>
      <c r="Q1239" s="361"/>
      <c r="R1239" s="360">
        <v>35</v>
      </c>
      <c r="S1239" s="341"/>
      <c r="T1239" s="361"/>
      <c r="U1239" s="6">
        <f t="shared" ref="U1239" si="353">R1239/G1239</f>
        <v>1</v>
      </c>
      <c r="V1239" s="193">
        <f t="shared" ref="V1239:V1240" si="354">+I1239+O1118</f>
        <v>35</v>
      </c>
      <c r="W1239" s="193">
        <f t="shared" ref="W1239:W1240" si="355">+O1239-V1239</f>
        <v>0</v>
      </c>
      <c r="X1239" s="193">
        <f t="shared" ref="X1239:X1240" si="356">+L1239+R1118</f>
        <v>35</v>
      </c>
      <c r="Y1239" s="193">
        <f t="shared" ref="Y1239:Y1240" si="357">+R1239-X1239</f>
        <v>0</v>
      </c>
      <c r="Z1239" s="195">
        <f t="shared" ref="Z1239:Z1240" si="358">+X1239/G1239</f>
        <v>1</v>
      </c>
      <c r="AA1239" s="194">
        <f t="shared" ref="AA1239:AA1240" si="359">+U1239-Z1239</f>
        <v>0</v>
      </c>
    </row>
    <row r="1240" spans="1:27">
      <c r="A1240" s="4"/>
      <c r="B1240" s="328" t="s">
        <v>57</v>
      </c>
      <c r="C1240" s="329"/>
      <c r="D1240" s="330"/>
      <c r="E1240" s="331" t="s">
        <v>58</v>
      </c>
      <c r="F1240" s="332"/>
      <c r="G1240" s="348">
        <v>907</v>
      </c>
      <c r="H1240" s="349"/>
      <c r="I1240" s="360">
        <v>72</v>
      </c>
      <c r="J1240" s="341"/>
      <c r="K1240" s="361"/>
      <c r="L1240" s="350">
        <v>72</v>
      </c>
      <c r="M1240" s="351"/>
      <c r="N1240" s="352"/>
      <c r="O1240" s="340">
        <f>70+70+70+88+84+70+70+70+85+88+72</f>
        <v>837</v>
      </c>
      <c r="P1240" s="341"/>
      <c r="Q1240" s="361"/>
      <c r="R1240" s="360">
        <f>70+70+70+88+69+55+70+70+84+89+72</f>
        <v>807</v>
      </c>
      <c r="S1240" s="341"/>
      <c r="T1240" s="361"/>
      <c r="U1240" s="54">
        <f>R1240/G1240</f>
        <v>0.8897464167585446</v>
      </c>
      <c r="V1240" s="193">
        <f t="shared" si="354"/>
        <v>837</v>
      </c>
      <c r="W1240" s="193">
        <f t="shared" si="355"/>
        <v>0</v>
      </c>
      <c r="X1240" s="193">
        <f t="shared" si="356"/>
        <v>807</v>
      </c>
      <c r="Y1240" s="193">
        <f t="shared" si="357"/>
        <v>0</v>
      </c>
      <c r="Z1240" s="195">
        <f t="shared" si="358"/>
        <v>0.8897464167585446</v>
      </c>
      <c r="AA1240" s="194">
        <f t="shared" si="359"/>
        <v>0</v>
      </c>
    </row>
    <row r="1241" spans="1:27" ht="15" customHeight="1">
      <c r="A1241" s="4"/>
      <c r="B1241" s="354" t="s">
        <v>79</v>
      </c>
      <c r="C1241" s="362"/>
      <c r="D1241" s="363"/>
      <c r="E1241" s="364"/>
      <c r="F1241" s="365"/>
      <c r="G1241" s="366"/>
      <c r="H1241" s="367"/>
      <c r="I1241" s="368"/>
      <c r="J1241" s="369"/>
      <c r="K1241" s="369"/>
      <c r="L1241" s="370"/>
      <c r="M1241" s="370"/>
      <c r="N1241" s="365"/>
      <c r="O1241" s="368"/>
      <c r="P1241" s="369"/>
      <c r="Q1241" s="369"/>
      <c r="R1241" s="369"/>
      <c r="S1241" s="369"/>
      <c r="T1241" s="369"/>
      <c r="U1241" s="175"/>
    </row>
    <row r="1242" spans="1:27">
      <c r="A1242" s="4"/>
      <c r="B1242" s="328" t="s">
        <v>56</v>
      </c>
      <c r="C1242" s="329"/>
      <c r="D1242" s="330"/>
      <c r="E1242" s="331" t="s">
        <v>58</v>
      </c>
      <c r="F1242" s="332"/>
      <c r="G1242" s="348">
        <v>96</v>
      </c>
      <c r="H1242" s="359"/>
      <c r="I1242" s="360">
        <v>0</v>
      </c>
      <c r="J1242" s="341"/>
      <c r="K1242" s="361"/>
      <c r="L1242" s="350">
        <v>0</v>
      </c>
      <c r="M1242" s="351"/>
      <c r="N1242" s="352"/>
      <c r="O1242" s="340">
        <v>96</v>
      </c>
      <c r="P1242" s="341"/>
      <c r="Q1242" s="361"/>
      <c r="R1242" s="360">
        <v>96</v>
      </c>
      <c r="S1242" s="341"/>
      <c r="T1242" s="361"/>
      <c r="U1242" s="54">
        <f t="shared" ref="U1242" si="360">R1242/G1242</f>
        <v>1</v>
      </c>
      <c r="V1242" s="193">
        <f t="shared" ref="V1242:V1243" si="361">+I1242+O1121</f>
        <v>96</v>
      </c>
      <c r="W1242" s="193">
        <f t="shared" ref="W1242:W1243" si="362">+O1242-V1242</f>
        <v>0</v>
      </c>
      <c r="X1242" s="193">
        <f t="shared" ref="X1242:X1243" si="363">+L1242+R1121</f>
        <v>96</v>
      </c>
      <c r="Y1242" s="193">
        <f t="shared" ref="Y1242:Y1243" si="364">+R1242-X1242</f>
        <v>0</v>
      </c>
      <c r="Z1242" s="195">
        <f t="shared" ref="Z1242:Z1243" si="365">+X1242/G1242</f>
        <v>1</v>
      </c>
      <c r="AA1242" s="194">
        <f t="shared" ref="AA1242:AA1243" si="366">+U1242-Z1242</f>
        <v>0</v>
      </c>
    </row>
    <row r="1243" spans="1:27">
      <c r="A1243" s="4"/>
      <c r="B1243" s="328" t="s">
        <v>57</v>
      </c>
      <c r="C1243" s="329"/>
      <c r="D1243" s="330"/>
      <c r="E1243" s="331" t="s">
        <v>58</v>
      </c>
      <c r="F1243" s="332"/>
      <c r="G1243" s="348">
        <v>1440</v>
      </c>
      <c r="H1243" s="349"/>
      <c r="I1243" s="360">
        <v>6</v>
      </c>
      <c r="J1243" s="341"/>
      <c r="K1243" s="361"/>
      <c r="L1243" s="350">
        <v>6</v>
      </c>
      <c r="M1243" s="351"/>
      <c r="N1243" s="352"/>
      <c r="O1243" s="340">
        <f>126+258+192+192+192+207+267+6</f>
        <v>1440</v>
      </c>
      <c r="P1243" s="341"/>
      <c r="Q1243" s="361"/>
      <c r="R1243" s="360">
        <f>126+258+192+192+192+207+267+6</f>
        <v>1440</v>
      </c>
      <c r="S1243" s="341"/>
      <c r="T1243" s="361"/>
      <c r="U1243" s="54">
        <f>R1243/G1243</f>
        <v>1</v>
      </c>
      <c r="V1243" s="193">
        <f t="shared" si="361"/>
        <v>1440</v>
      </c>
      <c r="W1243" s="193">
        <f t="shared" si="362"/>
        <v>0</v>
      </c>
      <c r="X1243" s="193">
        <f t="shared" si="363"/>
        <v>1440</v>
      </c>
      <c r="Y1243" s="193">
        <f t="shared" si="364"/>
        <v>0</v>
      </c>
      <c r="Z1243" s="195">
        <f t="shared" si="365"/>
        <v>1</v>
      </c>
      <c r="AA1243" s="194">
        <f t="shared" si="366"/>
        <v>0</v>
      </c>
    </row>
    <row r="1244" spans="1:27">
      <c r="A1244" s="4"/>
      <c r="B1244" s="354" t="s">
        <v>63</v>
      </c>
      <c r="C1244" s="355"/>
      <c r="D1244" s="356"/>
      <c r="E1244" s="357"/>
      <c r="F1244" s="358"/>
      <c r="G1244" s="348"/>
      <c r="H1244" s="349"/>
      <c r="I1244" s="360"/>
      <c r="J1244" s="341"/>
      <c r="K1244" s="361"/>
      <c r="L1244" s="353"/>
      <c r="M1244" s="351"/>
      <c r="N1244" s="352"/>
      <c r="O1244" s="340"/>
      <c r="P1244" s="341"/>
      <c r="Q1244" s="341"/>
      <c r="R1244" s="341"/>
      <c r="S1244" s="341"/>
      <c r="T1244" s="341"/>
      <c r="U1244" s="6"/>
    </row>
    <row r="1245" spans="1:27">
      <c r="A1245" s="4"/>
      <c r="B1245" s="328" t="s">
        <v>60</v>
      </c>
      <c r="C1245" s="329"/>
      <c r="D1245" s="330"/>
      <c r="E1245" s="331" t="s">
        <v>58</v>
      </c>
      <c r="F1245" s="332"/>
      <c r="G1245" s="348">
        <v>12</v>
      </c>
      <c r="H1245" s="359"/>
      <c r="I1245" s="350">
        <v>2</v>
      </c>
      <c r="J1245" s="351"/>
      <c r="K1245" s="349"/>
      <c r="L1245" s="350">
        <v>2</v>
      </c>
      <c r="M1245" s="351"/>
      <c r="N1245" s="352"/>
      <c r="O1245" s="340">
        <f>2+2+2+2+2+2</f>
        <v>12</v>
      </c>
      <c r="P1245" s="341"/>
      <c r="Q1245" s="361"/>
      <c r="R1245" s="360">
        <f>2+2+2+2+2+2</f>
        <v>12</v>
      </c>
      <c r="S1245" s="341"/>
      <c r="T1245" s="361"/>
      <c r="U1245" s="54">
        <f>R1245/G1245</f>
        <v>1</v>
      </c>
      <c r="V1245" s="193">
        <f>+I1245+O1124</f>
        <v>12</v>
      </c>
      <c r="W1245" s="193">
        <f>+O1245-V1245</f>
        <v>0</v>
      </c>
      <c r="X1245" s="193">
        <f>+L1245+R1124</f>
        <v>12</v>
      </c>
      <c r="Y1245" s="193">
        <f>+R1245-X1245</f>
        <v>0</v>
      </c>
      <c r="Z1245" s="195">
        <f>+X1245/G1245</f>
        <v>1</v>
      </c>
      <c r="AA1245" s="194">
        <f>+U1245-Z1245</f>
        <v>0</v>
      </c>
    </row>
    <row r="1246" spans="1:27">
      <c r="A1246" s="4"/>
      <c r="B1246" s="354" t="s">
        <v>61</v>
      </c>
      <c r="C1246" s="355"/>
      <c r="D1246" s="356"/>
      <c r="E1246" s="357"/>
      <c r="F1246" s="358"/>
      <c r="G1246" s="348"/>
      <c r="H1246" s="349"/>
      <c r="I1246" s="350"/>
      <c r="J1246" s="351"/>
      <c r="K1246" s="349"/>
      <c r="L1246" s="353"/>
      <c r="M1246" s="351"/>
      <c r="N1246" s="352"/>
      <c r="O1246" s="340"/>
      <c r="P1246" s="341"/>
      <c r="Q1246" s="341"/>
      <c r="R1246" s="341"/>
      <c r="S1246" s="341"/>
      <c r="T1246" s="341"/>
      <c r="U1246" s="6"/>
    </row>
    <row r="1247" spans="1:27" ht="15" customHeight="1">
      <c r="A1247" s="4"/>
      <c r="B1247" s="328" t="s">
        <v>61</v>
      </c>
      <c r="C1247" s="329"/>
      <c r="D1247" s="330"/>
      <c r="E1247" s="331" t="s">
        <v>58</v>
      </c>
      <c r="F1247" s="332"/>
      <c r="G1247" s="348">
        <v>15</v>
      </c>
      <c r="H1247" s="349"/>
      <c r="I1247" s="350">
        <v>5</v>
      </c>
      <c r="J1247" s="351"/>
      <c r="K1247" s="349"/>
      <c r="L1247" s="350">
        <v>5</v>
      </c>
      <c r="M1247" s="351"/>
      <c r="N1247" s="352"/>
      <c r="O1247" s="340">
        <f>5+0+5+0+0+5</f>
        <v>15</v>
      </c>
      <c r="P1247" s="341"/>
      <c r="Q1247" s="361"/>
      <c r="R1247" s="360">
        <f>0+5+0+5+0+5</f>
        <v>15</v>
      </c>
      <c r="S1247" s="341"/>
      <c r="T1247" s="361"/>
      <c r="U1247" s="54">
        <f>R1247/G1247</f>
        <v>1</v>
      </c>
      <c r="V1247" s="193">
        <f>+I1247+O1126</f>
        <v>15</v>
      </c>
      <c r="W1247" s="193">
        <f>+O1247-V1247</f>
        <v>0</v>
      </c>
      <c r="X1247" s="193">
        <f>+L1247+R1126</f>
        <v>15</v>
      </c>
      <c r="Y1247" s="193">
        <f>+R1247-X1247</f>
        <v>0</v>
      </c>
      <c r="Z1247" s="195">
        <f>+X1247/G1247</f>
        <v>1</v>
      </c>
      <c r="AA1247" s="194">
        <f>+U1247-Z1247</f>
        <v>0</v>
      </c>
    </row>
    <row r="1248" spans="1:27" ht="15" customHeight="1">
      <c r="A1248" s="4"/>
      <c r="B1248" s="354" t="s">
        <v>62</v>
      </c>
      <c r="C1248" s="355"/>
      <c r="D1248" s="356"/>
      <c r="E1248" s="357"/>
      <c r="F1248" s="358"/>
      <c r="G1248" s="348"/>
      <c r="H1248" s="349"/>
      <c r="I1248" s="350"/>
      <c r="J1248" s="351"/>
      <c r="K1248" s="349"/>
      <c r="L1248" s="353"/>
      <c r="M1248" s="351"/>
      <c r="N1248" s="352"/>
      <c r="O1248" s="340"/>
      <c r="P1248" s="341"/>
      <c r="Q1248" s="341"/>
      <c r="R1248" s="341"/>
      <c r="S1248" s="341"/>
      <c r="T1248" s="341"/>
      <c r="U1248" s="6"/>
    </row>
    <row r="1249" spans="1:27" ht="15" customHeight="1" thickBot="1">
      <c r="A1249" s="4"/>
      <c r="B1249" s="328" t="s">
        <v>62</v>
      </c>
      <c r="C1249" s="329"/>
      <c r="D1249" s="330"/>
      <c r="E1249" s="331" t="s">
        <v>58</v>
      </c>
      <c r="F1249" s="332"/>
      <c r="G1249" s="333">
        <v>1</v>
      </c>
      <c r="H1249" s="334"/>
      <c r="I1249" s="335">
        <v>0</v>
      </c>
      <c r="J1249" s="336"/>
      <c r="K1249" s="334"/>
      <c r="L1249" s="337">
        <v>0</v>
      </c>
      <c r="M1249" s="338"/>
      <c r="N1249" s="339"/>
      <c r="O1249" s="340">
        <v>0</v>
      </c>
      <c r="P1249" s="341"/>
      <c r="Q1249" s="341"/>
      <c r="R1249" s="341">
        <v>1</v>
      </c>
      <c r="S1249" s="341"/>
      <c r="T1249" s="341"/>
      <c r="U1249" s="54">
        <f>R1249/G1249</f>
        <v>1</v>
      </c>
      <c r="V1249" s="193">
        <f>+I1249+O1128</f>
        <v>0</v>
      </c>
      <c r="W1249" s="193">
        <f>+O1249-V1249</f>
        <v>0</v>
      </c>
      <c r="X1249" s="193">
        <f>+L1249+R1128</f>
        <v>1</v>
      </c>
      <c r="Y1249" s="193">
        <f>+R1249-X1249</f>
        <v>0</v>
      </c>
      <c r="Z1249" s="195">
        <f>+X1249/G1249</f>
        <v>1</v>
      </c>
      <c r="AA1249" s="194">
        <f>+U1249-Z1249</f>
        <v>0</v>
      </c>
    </row>
    <row r="1250" spans="1:27" ht="15.75" thickBot="1">
      <c r="A1250" s="4"/>
      <c r="B1250" s="342" t="s">
        <v>21</v>
      </c>
      <c r="C1250" s="343"/>
      <c r="D1250" s="343"/>
      <c r="E1250" s="343"/>
      <c r="F1250" s="344"/>
      <c r="G1250" s="345"/>
      <c r="H1250" s="346"/>
      <c r="I1250" s="346"/>
      <c r="J1250" s="346"/>
      <c r="K1250" s="346"/>
      <c r="L1250" s="346"/>
      <c r="M1250" s="346"/>
      <c r="N1250" s="347"/>
      <c r="O1250" s="345"/>
      <c r="P1250" s="346"/>
      <c r="Q1250" s="346"/>
      <c r="R1250" s="346"/>
      <c r="S1250" s="346"/>
      <c r="T1250" s="346"/>
      <c r="U1250" s="347"/>
    </row>
    <row r="1251" spans="1:27" ht="15.75" thickBot="1">
      <c r="B1251" s="7"/>
      <c r="C1251" s="8"/>
      <c r="D1251" s="9"/>
      <c r="E1251" s="10"/>
      <c r="F1251" s="11"/>
      <c r="G1251" s="12"/>
      <c r="H1251" s="13"/>
      <c r="I1251" s="14"/>
      <c r="J1251" s="14"/>
      <c r="K1251" s="15"/>
      <c r="L1251" s="14"/>
      <c r="M1251" s="15"/>
      <c r="N1251" s="14"/>
      <c r="O1251" s="14"/>
      <c r="P1251" s="14"/>
      <c r="Q1251" s="14"/>
      <c r="R1251" s="15"/>
      <c r="S1251" s="14"/>
      <c r="T1251" s="12"/>
      <c r="U1251" s="14"/>
    </row>
    <row r="1252" spans="1:27" ht="16.5" customHeight="1" thickBot="1">
      <c r="A1252" s="4"/>
      <c r="B1252" s="306" t="s">
        <v>22</v>
      </c>
      <c r="C1252" s="307"/>
      <c r="D1252" s="307"/>
      <c r="E1252" s="307"/>
      <c r="F1252" s="308"/>
      <c r="G1252" s="312" t="s">
        <v>129</v>
      </c>
      <c r="H1252" s="313"/>
      <c r="I1252" s="313"/>
      <c r="J1252" s="313"/>
      <c r="K1252" s="313"/>
      <c r="L1252" s="313"/>
      <c r="M1252" s="313"/>
      <c r="N1252" s="313"/>
      <c r="O1252" s="313"/>
      <c r="P1252" s="313"/>
      <c r="Q1252" s="313"/>
      <c r="R1252" s="313"/>
      <c r="S1252" s="313"/>
      <c r="T1252" s="313"/>
      <c r="U1252" s="314"/>
    </row>
    <row r="1253" spans="1:27" ht="15.75" thickBot="1">
      <c r="A1253" s="4"/>
      <c r="B1253" s="309"/>
      <c r="C1253" s="310"/>
      <c r="D1253" s="310"/>
      <c r="E1253" s="310"/>
      <c r="F1253" s="311"/>
      <c r="G1253" s="315" t="s">
        <v>24</v>
      </c>
      <c r="H1253" s="316"/>
      <c r="I1253" s="310" t="s">
        <v>16</v>
      </c>
      <c r="J1253" s="310"/>
      <c r="K1253" s="310"/>
      <c r="L1253" s="310"/>
      <c r="M1253" s="310"/>
      <c r="N1253" s="311"/>
      <c r="O1253" s="321" t="s">
        <v>17</v>
      </c>
      <c r="P1253" s="322"/>
      <c r="Q1253" s="322"/>
      <c r="R1253" s="322"/>
      <c r="S1253" s="322"/>
      <c r="T1253" s="322"/>
      <c r="U1253" s="323"/>
    </row>
    <row r="1254" spans="1:27" ht="15.75" customHeight="1" thickBot="1">
      <c r="A1254" s="4"/>
      <c r="B1254" s="309"/>
      <c r="C1254" s="310"/>
      <c r="D1254" s="310"/>
      <c r="E1254" s="310"/>
      <c r="F1254" s="311"/>
      <c r="G1254" s="317"/>
      <c r="H1254" s="318"/>
      <c r="I1254" s="267" t="s">
        <v>18</v>
      </c>
      <c r="J1254" s="268"/>
      <c r="K1254" s="269"/>
      <c r="L1254" s="267" t="s">
        <v>25</v>
      </c>
      <c r="M1254" s="268"/>
      <c r="N1254" s="269"/>
      <c r="O1254" s="267" t="s">
        <v>18</v>
      </c>
      <c r="P1254" s="268"/>
      <c r="Q1254" s="324"/>
      <c r="R1254" s="325" t="s">
        <v>25</v>
      </c>
      <c r="S1254" s="268"/>
      <c r="T1254" s="269"/>
      <c r="U1254" s="326" t="s">
        <v>20</v>
      </c>
      <c r="V1254" s="200" t="s">
        <v>153</v>
      </c>
      <c r="W1254" s="201"/>
      <c r="X1254" s="200" t="s">
        <v>154</v>
      </c>
      <c r="Y1254" s="201"/>
      <c r="Z1254" s="200" t="s">
        <v>155</v>
      </c>
      <c r="AA1254" s="201"/>
    </row>
    <row r="1255" spans="1:27" ht="25.5" customHeight="1" thickBot="1">
      <c r="A1255" s="4"/>
      <c r="B1255" s="309"/>
      <c r="C1255" s="310"/>
      <c r="D1255" s="310"/>
      <c r="E1255" s="310"/>
      <c r="F1255" s="311"/>
      <c r="G1255" s="319"/>
      <c r="H1255" s="320"/>
      <c r="I1255" s="172" t="s">
        <v>26</v>
      </c>
      <c r="J1255" s="174" t="s">
        <v>27</v>
      </c>
      <c r="K1255" s="174" t="s">
        <v>28</v>
      </c>
      <c r="L1255" s="172" t="s">
        <v>26</v>
      </c>
      <c r="M1255" s="174" t="s">
        <v>27</v>
      </c>
      <c r="N1255" s="173" t="s">
        <v>28</v>
      </c>
      <c r="O1255" s="19" t="s">
        <v>26</v>
      </c>
      <c r="P1255" s="172" t="s">
        <v>27</v>
      </c>
      <c r="Q1255" s="20" t="s">
        <v>28</v>
      </c>
      <c r="R1255" s="21" t="s">
        <v>26</v>
      </c>
      <c r="S1255" s="171" t="s">
        <v>27</v>
      </c>
      <c r="T1255" s="174" t="s">
        <v>28</v>
      </c>
      <c r="U1255" s="327"/>
      <c r="V1255" s="202"/>
      <c r="W1255" s="203"/>
      <c r="X1255" s="202"/>
      <c r="Y1255" s="203"/>
      <c r="Z1255" s="202"/>
      <c r="AA1255" s="203"/>
    </row>
    <row r="1256" spans="1:27" ht="15.75" thickBot="1">
      <c r="A1256" s="4"/>
      <c r="B1256" s="302" t="s">
        <v>29</v>
      </c>
      <c r="C1256" s="303"/>
      <c r="D1256" s="303"/>
      <c r="E1256" s="303"/>
      <c r="F1256" s="303"/>
      <c r="G1256" s="303"/>
      <c r="H1256" s="303"/>
      <c r="I1256" s="303"/>
      <c r="J1256" s="303"/>
      <c r="K1256" s="303"/>
      <c r="L1256" s="303"/>
      <c r="M1256" s="303"/>
      <c r="N1256" s="303"/>
      <c r="O1256" s="303"/>
      <c r="P1256" s="303"/>
      <c r="Q1256" s="303"/>
      <c r="R1256" s="303"/>
      <c r="S1256" s="303"/>
      <c r="T1256" s="303"/>
      <c r="U1256" s="304"/>
    </row>
    <row r="1257" spans="1:27" s="40" customFormat="1" ht="15.75" customHeight="1">
      <c r="A1257" s="152"/>
      <c r="B1257" s="287" t="s">
        <v>82</v>
      </c>
      <c r="C1257" s="288"/>
      <c r="D1257" s="288"/>
      <c r="E1257" s="288"/>
      <c r="F1257" s="289"/>
      <c r="G1257" s="290">
        <v>1908</v>
      </c>
      <c r="H1257" s="305"/>
      <c r="I1257" s="186">
        <v>0</v>
      </c>
      <c r="J1257" s="141">
        <v>0</v>
      </c>
      <c r="K1257" s="141">
        <v>0</v>
      </c>
      <c r="L1257" s="141">
        <v>0</v>
      </c>
      <c r="M1257" s="141">
        <v>0</v>
      </c>
      <c r="N1257" s="141">
        <v>0</v>
      </c>
      <c r="O1257" s="141">
        <v>1908</v>
      </c>
      <c r="P1257" s="141">
        <v>0</v>
      </c>
      <c r="Q1257" s="154">
        <v>0</v>
      </c>
      <c r="R1257" s="141">
        <v>0</v>
      </c>
      <c r="S1257" s="141">
        <v>0</v>
      </c>
      <c r="T1257" s="154">
        <v>0</v>
      </c>
      <c r="U1257" s="155">
        <v>0</v>
      </c>
      <c r="V1257" s="128">
        <f>+I1257+O1136</f>
        <v>1908</v>
      </c>
      <c r="W1257" s="128">
        <f>+O1257-V1257</f>
        <v>0</v>
      </c>
      <c r="X1257" s="128">
        <f>+L1257+R1136</f>
        <v>0</v>
      </c>
      <c r="Y1257" s="128">
        <f>+R1257-X1257</f>
        <v>0</v>
      </c>
      <c r="Z1257" s="195">
        <f>+X1257/G1257</f>
        <v>0</v>
      </c>
      <c r="AA1257" s="194">
        <f>+U1257-Z1257</f>
        <v>0</v>
      </c>
    </row>
    <row r="1258" spans="1:27" s="40" customFormat="1" ht="15.75" customHeight="1">
      <c r="A1258" s="152"/>
      <c r="B1258" s="299" t="s">
        <v>141</v>
      </c>
      <c r="C1258" s="300"/>
      <c r="D1258" s="300"/>
      <c r="E1258" s="300"/>
      <c r="F1258" s="301"/>
      <c r="G1258" s="277">
        <v>0</v>
      </c>
      <c r="H1258" s="292"/>
      <c r="I1258" s="142">
        <v>0</v>
      </c>
      <c r="J1258" s="117">
        <v>0</v>
      </c>
      <c r="K1258" s="117">
        <v>0</v>
      </c>
      <c r="L1258" s="117">
        <v>8216</v>
      </c>
      <c r="M1258" s="117">
        <v>0</v>
      </c>
      <c r="N1258" s="117">
        <v>0</v>
      </c>
      <c r="O1258" s="117">
        <v>0</v>
      </c>
      <c r="P1258" s="117">
        <v>0</v>
      </c>
      <c r="Q1258" s="187">
        <v>0</v>
      </c>
      <c r="R1258" s="117">
        <v>8216</v>
      </c>
      <c r="S1258" s="117">
        <v>0</v>
      </c>
      <c r="T1258" s="187">
        <v>0</v>
      </c>
      <c r="U1258" s="153">
        <f>R1258/L1258</f>
        <v>1</v>
      </c>
      <c r="V1258" s="128">
        <v>0</v>
      </c>
      <c r="W1258" s="128">
        <f t="shared" ref="W1258:W1263" si="367">+O1258-V1258</f>
        <v>0</v>
      </c>
      <c r="X1258" s="128">
        <f>+R1258</f>
        <v>8216</v>
      </c>
      <c r="Y1258" s="128">
        <f t="shared" ref="Y1258:Y1263" si="368">+R1258-X1258</f>
        <v>0</v>
      </c>
      <c r="Z1258" s="195">
        <v>1</v>
      </c>
      <c r="AA1258" s="194">
        <f t="shared" ref="AA1258:AA1282" si="369">+U1258-Z1258</f>
        <v>0</v>
      </c>
    </row>
    <row r="1259" spans="1:27" s="40" customFormat="1">
      <c r="A1259" s="152"/>
      <c r="B1259" s="274" t="s">
        <v>83</v>
      </c>
      <c r="C1259" s="275"/>
      <c r="D1259" s="275"/>
      <c r="E1259" s="275"/>
      <c r="F1259" s="276"/>
      <c r="G1259" s="277">
        <v>9000</v>
      </c>
      <c r="H1259" s="292"/>
      <c r="I1259" s="142">
        <v>0</v>
      </c>
      <c r="J1259" s="117">
        <v>0</v>
      </c>
      <c r="K1259" s="117">
        <v>0</v>
      </c>
      <c r="L1259" s="117">
        <v>0</v>
      </c>
      <c r="M1259" s="117">
        <v>0</v>
      </c>
      <c r="N1259" s="117">
        <v>0</v>
      </c>
      <c r="O1259" s="117">
        <f>0+0+0+0+3000+0+3000+0+0+3000</f>
        <v>9000</v>
      </c>
      <c r="P1259" s="117">
        <v>0</v>
      </c>
      <c r="Q1259" s="117">
        <v>0</v>
      </c>
      <c r="R1259" s="117">
        <f>0+0+0+0+0+0+0+4242.4+0+4647.11</f>
        <v>8889.5099999999984</v>
      </c>
      <c r="S1259" s="117">
        <v>0</v>
      </c>
      <c r="T1259" s="117">
        <v>0</v>
      </c>
      <c r="U1259" s="153">
        <f t="shared" ref="U1259:U1263" si="370">R1259/G1259</f>
        <v>0.98772333333333318</v>
      </c>
      <c r="V1259" s="128">
        <f>+I1259+O1137</f>
        <v>9000</v>
      </c>
      <c r="W1259" s="128">
        <f t="shared" si="367"/>
        <v>0</v>
      </c>
      <c r="X1259" s="128">
        <f>+L1259+R1137</f>
        <v>8889.5099999999984</v>
      </c>
      <c r="Y1259" s="128">
        <f t="shared" si="368"/>
        <v>0</v>
      </c>
      <c r="Z1259" s="195">
        <f t="shared" ref="Z1259:Z1282" si="371">+X1259/G1259</f>
        <v>0.98772333333333318</v>
      </c>
      <c r="AA1259" s="194">
        <f t="shared" si="369"/>
        <v>0</v>
      </c>
    </row>
    <row r="1260" spans="1:27" s="40" customFormat="1">
      <c r="A1260" s="166"/>
      <c r="B1260" s="274" t="s">
        <v>84</v>
      </c>
      <c r="C1260" s="275"/>
      <c r="D1260" s="275"/>
      <c r="E1260" s="275"/>
      <c r="F1260" s="276"/>
      <c r="G1260" s="277">
        <v>15000</v>
      </c>
      <c r="H1260" s="292"/>
      <c r="I1260" s="142">
        <v>0</v>
      </c>
      <c r="J1260" s="117">
        <v>0</v>
      </c>
      <c r="K1260" s="117">
        <v>0</v>
      </c>
      <c r="L1260" s="117">
        <v>0</v>
      </c>
      <c r="M1260" s="117">
        <v>0</v>
      </c>
      <c r="N1260" s="117">
        <v>0</v>
      </c>
      <c r="O1260" s="117">
        <v>15000</v>
      </c>
      <c r="P1260" s="117">
        <v>0</v>
      </c>
      <c r="Q1260" s="117">
        <v>0</v>
      </c>
      <c r="R1260" s="117">
        <f>6990</f>
        <v>6990</v>
      </c>
      <c r="S1260" s="117">
        <v>0</v>
      </c>
      <c r="T1260" s="117">
        <v>0</v>
      </c>
      <c r="U1260" s="153">
        <f t="shared" si="370"/>
        <v>0.46600000000000003</v>
      </c>
      <c r="V1260" s="128">
        <f t="shared" ref="V1260:V1261" si="372">+I1260+O1138</f>
        <v>15000</v>
      </c>
      <c r="W1260" s="128">
        <f t="shared" ref="W1260:W1261" si="373">+O1260-V1260</f>
        <v>0</v>
      </c>
      <c r="X1260" s="128">
        <f t="shared" ref="X1260:X1261" si="374">+L1260+R1138</f>
        <v>6990</v>
      </c>
      <c r="Y1260" s="128">
        <f t="shared" ref="Y1260:Y1261" si="375">+R1260-X1260</f>
        <v>0</v>
      </c>
      <c r="Z1260" s="195">
        <f t="shared" ref="Z1260:Z1261" si="376">+X1260/G1260</f>
        <v>0.46600000000000003</v>
      </c>
      <c r="AA1260" s="194">
        <f t="shared" ref="AA1260:AA1261" si="377">+U1260-Z1260</f>
        <v>0</v>
      </c>
    </row>
    <row r="1261" spans="1:27" s="40" customFormat="1">
      <c r="A1261" s="152"/>
      <c r="B1261" s="274" t="s">
        <v>85</v>
      </c>
      <c r="C1261" s="275"/>
      <c r="D1261" s="275"/>
      <c r="E1261" s="275"/>
      <c r="F1261" s="276"/>
      <c r="G1261" s="277">
        <v>2000</v>
      </c>
      <c r="H1261" s="292"/>
      <c r="I1261" s="142">
        <v>0</v>
      </c>
      <c r="J1261" s="117">
        <v>0</v>
      </c>
      <c r="K1261" s="117">
        <v>0</v>
      </c>
      <c r="L1261" s="117">
        <v>0</v>
      </c>
      <c r="M1261" s="117">
        <v>0</v>
      </c>
      <c r="N1261" s="117">
        <v>0</v>
      </c>
      <c r="O1261" s="117">
        <v>2000</v>
      </c>
      <c r="P1261" s="117">
        <v>0</v>
      </c>
      <c r="Q1261" s="117">
        <v>0</v>
      </c>
      <c r="R1261" s="117">
        <v>2000</v>
      </c>
      <c r="S1261" s="117">
        <v>0</v>
      </c>
      <c r="T1261" s="117">
        <v>0</v>
      </c>
      <c r="U1261" s="153">
        <f t="shared" si="370"/>
        <v>1</v>
      </c>
      <c r="V1261" s="128">
        <f t="shared" si="372"/>
        <v>2000</v>
      </c>
      <c r="W1261" s="128">
        <f t="shared" si="373"/>
        <v>0</v>
      </c>
      <c r="X1261" s="128">
        <f t="shared" si="374"/>
        <v>2000</v>
      </c>
      <c r="Y1261" s="128">
        <f t="shared" si="375"/>
        <v>0</v>
      </c>
      <c r="Z1261" s="195">
        <f t="shared" si="376"/>
        <v>1</v>
      </c>
      <c r="AA1261" s="194">
        <f t="shared" si="377"/>
        <v>0</v>
      </c>
    </row>
    <row r="1262" spans="1:27" s="40" customFormat="1">
      <c r="A1262" s="152"/>
      <c r="B1262" s="299" t="s">
        <v>142</v>
      </c>
      <c r="C1262" s="300"/>
      <c r="D1262" s="300"/>
      <c r="E1262" s="300"/>
      <c r="F1262" s="301"/>
      <c r="G1262" s="277">
        <v>0</v>
      </c>
      <c r="H1262" s="292"/>
      <c r="I1262" s="142">
        <v>0</v>
      </c>
      <c r="J1262" s="117">
        <v>0</v>
      </c>
      <c r="K1262" s="117">
        <v>0</v>
      </c>
      <c r="L1262" s="117">
        <v>1841.4</v>
      </c>
      <c r="M1262" s="117">
        <v>0</v>
      </c>
      <c r="N1262" s="117">
        <v>0</v>
      </c>
      <c r="O1262" s="117">
        <v>0</v>
      </c>
      <c r="P1262" s="117">
        <v>0</v>
      </c>
      <c r="Q1262" s="117">
        <v>0</v>
      </c>
      <c r="R1262" s="117">
        <v>1841.4</v>
      </c>
      <c r="S1262" s="117">
        <v>0</v>
      </c>
      <c r="T1262" s="117">
        <v>0</v>
      </c>
      <c r="U1262" s="153">
        <f>R1262/L1262</f>
        <v>1</v>
      </c>
      <c r="V1262" s="128">
        <f t="shared" ref="V1262" si="378">+I1262+O1141</f>
        <v>0</v>
      </c>
      <c r="W1262" s="128">
        <f t="shared" si="367"/>
        <v>0</v>
      </c>
      <c r="X1262" s="128">
        <f t="shared" ref="X1262" si="379">+L1262+R1141</f>
        <v>1841.4</v>
      </c>
      <c r="Y1262" s="128">
        <f t="shared" si="368"/>
        <v>0</v>
      </c>
      <c r="Z1262" s="195">
        <v>1</v>
      </c>
      <c r="AA1262" s="194">
        <f t="shared" si="369"/>
        <v>0</v>
      </c>
    </row>
    <row r="1263" spans="1:27" s="40" customFormat="1">
      <c r="A1263" s="152"/>
      <c r="B1263" s="274" t="s">
        <v>119</v>
      </c>
      <c r="C1263" s="275"/>
      <c r="D1263" s="275"/>
      <c r="E1263" s="275"/>
      <c r="F1263" s="276"/>
      <c r="G1263" s="277">
        <v>198000</v>
      </c>
      <c r="H1263" s="292"/>
      <c r="I1263" s="142">
        <v>16500</v>
      </c>
      <c r="J1263" s="117">
        <v>0</v>
      </c>
      <c r="K1263" s="117">
        <v>0</v>
      </c>
      <c r="L1263" s="117">
        <v>46650.53</v>
      </c>
      <c r="M1263" s="117">
        <v>0</v>
      </c>
      <c r="N1263" s="117">
        <v>0</v>
      </c>
      <c r="O1263" s="117">
        <f>16500+16500+16500+16500+16500+16500+16500+16500+16500+16500+16500</f>
        <v>181500</v>
      </c>
      <c r="P1263" s="117">
        <v>0</v>
      </c>
      <c r="Q1263" s="117">
        <v>0</v>
      </c>
      <c r="R1263" s="117">
        <f>0+0+0+5000+2500+5000+64350.4+20000+53800.17+2380.22+46650.53</f>
        <v>199681.32</v>
      </c>
      <c r="S1263" s="117">
        <v>0</v>
      </c>
      <c r="T1263" s="117">
        <v>0</v>
      </c>
      <c r="U1263" s="153">
        <f t="shared" si="370"/>
        <v>1.0084915151515152</v>
      </c>
      <c r="V1263" s="128">
        <f>+I1263+O1140</f>
        <v>181500</v>
      </c>
      <c r="W1263" s="128">
        <f t="shared" si="367"/>
        <v>0</v>
      </c>
      <c r="X1263" s="128">
        <f>+L1263+R1140</f>
        <v>199681.32</v>
      </c>
      <c r="Y1263" s="128">
        <f t="shared" si="368"/>
        <v>0</v>
      </c>
      <c r="Z1263" s="195">
        <f t="shared" si="371"/>
        <v>1.0084915151515152</v>
      </c>
      <c r="AA1263" s="194">
        <f t="shared" si="369"/>
        <v>0</v>
      </c>
    </row>
    <row r="1264" spans="1:27" s="40" customFormat="1">
      <c r="A1264" s="152"/>
      <c r="B1264" s="274" t="s">
        <v>130</v>
      </c>
      <c r="C1264" s="275"/>
      <c r="D1264" s="275"/>
      <c r="E1264" s="275"/>
      <c r="F1264" s="276"/>
      <c r="G1264" s="277">
        <v>13000</v>
      </c>
      <c r="H1264" s="292"/>
      <c r="I1264" s="142">
        <v>0</v>
      </c>
      <c r="J1264" s="117">
        <v>0</v>
      </c>
      <c r="K1264" s="117">
        <v>0</v>
      </c>
      <c r="L1264" s="117">
        <v>0</v>
      </c>
      <c r="M1264" s="117">
        <v>0</v>
      </c>
      <c r="N1264" s="117">
        <v>0</v>
      </c>
      <c r="O1264" s="117">
        <v>0</v>
      </c>
      <c r="P1264" s="117">
        <v>0</v>
      </c>
      <c r="Q1264" s="117">
        <v>0</v>
      </c>
      <c r="R1264" s="117">
        <v>0</v>
      </c>
      <c r="S1264" s="117">
        <v>0</v>
      </c>
      <c r="T1264" s="117">
        <v>0</v>
      </c>
      <c r="U1264" s="153">
        <f t="shared" ref="U1264:U1276" si="380">R1264/G1264</f>
        <v>0</v>
      </c>
      <c r="V1264" s="128">
        <f t="shared" ref="V1264:V1269" si="381">+I1264+O1141</f>
        <v>0</v>
      </c>
      <c r="W1264" s="128">
        <f t="shared" ref="W1264:W1271" si="382">+O1264-V1264</f>
        <v>0</v>
      </c>
      <c r="X1264" s="128">
        <f t="shared" ref="X1264:X1269" si="383">+L1264+R1141</f>
        <v>0</v>
      </c>
      <c r="Y1264" s="128">
        <f t="shared" ref="Y1264:Y1271" si="384">+R1264-X1264</f>
        <v>0</v>
      </c>
      <c r="Z1264" s="195">
        <f t="shared" ref="Z1264:Z1271" si="385">+X1264/G1264</f>
        <v>0</v>
      </c>
      <c r="AA1264" s="194">
        <f t="shared" ref="AA1264:AA1271" si="386">+U1264-Z1264</f>
        <v>0</v>
      </c>
    </row>
    <row r="1265" spans="1:27" s="40" customFormat="1">
      <c r="A1265" s="152"/>
      <c r="B1265" s="274" t="s">
        <v>86</v>
      </c>
      <c r="C1265" s="275"/>
      <c r="D1265" s="275"/>
      <c r="E1265" s="275"/>
      <c r="F1265" s="276"/>
      <c r="G1265" s="277">
        <v>30000</v>
      </c>
      <c r="H1265" s="292"/>
      <c r="I1265" s="142">
        <v>0</v>
      </c>
      <c r="J1265" s="117">
        <v>0</v>
      </c>
      <c r="K1265" s="117">
        <v>0</v>
      </c>
      <c r="L1265" s="117">
        <v>0</v>
      </c>
      <c r="M1265" s="117">
        <v>0</v>
      </c>
      <c r="N1265" s="117">
        <v>0</v>
      </c>
      <c r="O1265" s="117">
        <v>30000</v>
      </c>
      <c r="P1265" s="117">
        <v>0</v>
      </c>
      <c r="Q1265" s="117">
        <v>0</v>
      </c>
      <c r="R1265" s="117">
        <f>9200</f>
        <v>9200</v>
      </c>
      <c r="S1265" s="117">
        <v>0</v>
      </c>
      <c r="T1265" s="117">
        <v>0</v>
      </c>
      <c r="U1265" s="153">
        <f t="shared" si="380"/>
        <v>0.30666666666666664</v>
      </c>
      <c r="V1265" s="128">
        <f t="shared" si="381"/>
        <v>30000</v>
      </c>
      <c r="W1265" s="128">
        <f t="shared" si="382"/>
        <v>0</v>
      </c>
      <c r="X1265" s="128">
        <f t="shared" si="383"/>
        <v>9200</v>
      </c>
      <c r="Y1265" s="128">
        <f t="shared" si="384"/>
        <v>0</v>
      </c>
      <c r="Z1265" s="195">
        <f t="shared" si="385"/>
        <v>0.30666666666666664</v>
      </c>
      <c r="AA1265" s="194">
        <f t="shared" si="386"/>
        <v>0</v>
      </c>
    </row>
    <row r="1266" spans="1:27" s="40" customFormat="1">
      <c r="A1266" s="152"/>
      <c r="B1266" s="274" t="s">
        <v>88</v>
      </c>
      <c r="C1266" s="275"/>
      <c r="D1266" s="275"/>
      <c r="E1266" s="275"/>
      <c r="F1266" s="276"/>
      <c r="G1266" s="277">
        <v>5800</v>
      </c>
      <c r="H1266" s="292"/>
      <c r="I1266" s="142">
        <v>0</v>
      </c>
      <c r="J1266" s="117">
        <v>0</v>
      </c>
      <c r="K1266" s="117">
        <v>0</v>
      </c>
      <c r="L1266" s="117">
        <v>0</v>
      </c>
      <c r="M1266" s="117">
        <v>0</v>
      </c>
      <c r="N1266" s="117">
        <v>0</v>
      </c>
      <c r="O1266" s="117">
        <f>2900+2900</f>
        <v>5800</v>
      </c>
      <c r="P1266" s="117">
        <v>0</v>
      </c>
      <c r="Q1266" s="117">
        <v>0</v>
      </c>
      <c r="R1266" s="117">
        <v>5800</v>
      </c>
      <c r="S1266" s="117">
        <v>0</v>
      </c>
      <c r="T1266" s="117">
        <v>0</v>
      </c>
      <c r="U1266" s="153">
        <f t="shared" si="380"/>
        <v>1</v>
      </c>
      <c r="V1266" s="128">
        <f t="shared" si="381"/>
        <v>5800</v>
      </c>
      <c r="W1266" s="128">
        <f t="shared" si="382"/>
        <v>0</v>
      </c>
      <c r="X1266" s="128">
        <f t="shared" si="383"/>
        <v>5800</v>
      </c>
      <c r="Y1266" s="128">
        <f t="shared" si="384"/>
        <v>0</v>
      </c>
      <c r="Z1266" s="195">
        <f t="shared" si="385"/>
        <v>1</v>
      </c>
      <c r="AA1266" s="194">
        <f t="shared" si="386"/>
        <v>0</v>
      </c>
    </row>
    <row r="1267" spans="1:27" s="40" customFormat="1">
      <c r="A1267" s="152"/>
      <c r="B1267" s="274" t="s">
        <v>131</v>
      </c>
      <c r="C1267" s="275"/>
      <c r="D1267" s="275"/>
      <c r="E1267" s="275"/>
      <c r="F1267" s="276"/>
      <c r="G1267" s="277">
        <v>40000</v>
      </c>
      <c r="H1267" s="292"/>
      <c r="I1267" s="142">
        <v>8000</v>
      </c>
      <c r="J1267" s="117">
        <v>0</v>
      </c>
      <c r="K1267" s="117">
        <v>0</v>
      </c>
      <c r="L1267" s="117">
        <v>8413</v>
      </c>
      <c r="M1267" s="117">
        <v>0</v>
      </c>
      <c r="N1267" s="117">
        <v>0</v>
      </c>
      <c r="O1267" s="117">
        <f>8000+8000+8000+8000</f>
        <v>32000</v>
      </c>
      <c r="P1267" s="117">
        <v>0</v>
      </c>
      <c r="Q1267" s="117">
        <v>0</v>
      </c>
      <c r="R1267" s="117">
        <f>0+0+0+0+0+0+4176+5684+6754.68+6554+8413</f>
        <v>31581.68</v>
      </c>
      <c r="S1267" s="117">
        <v>0</v>
      </c>
      <c r="T1267" s="117">
        <v>0</v>
      </c>
      <c r="U1267" s="153">
        <f t="shared" si="380"/>
        <v>0.78954199999999997</v>
      </c>
      <c r="V1267" s="128">
        <f t="shared" si="381"/>
        <v>32000</v>
      </c>
      <c r="W1267" s="128">
        <f t="shared" si="382"/>
        <v>0</v>
      </c>
      <c r="X1267" s="128">
        <f t="shared" si="383"/>
        <v>31581.68</v>
      </c>
      <c r="Y1267" s="128">
        <f t="shared" si="384"/>
        <v>0</v>
      </c>
      <c r="Z1267" s="195">
        <f t="shared" si="385"/>
        <v>0.78954199999999997</v>
      </c>
      <c r="AA1267" s="194">
        <f t="shared" si="386"/>
        <v>0</v>
      </c>
    </row>
    <row r="1268" spans="1:27" s="40" customFormat="1">
      <c r="A1268" s="152"/>
      <c r="B1268" s="274" t="s">
        <v>87</v>
      </c>
      <c r="C1268" s="275"/>
      <c r="D1268" s="275"/>
      <c r="E1268" s="275"/>
      <c r="F1268" s="276"/>
      <c r="G1268" s="277">
        <v>9000</v>
      </c>
      <c r="H1268" s="292"/>
      <c r="I1268" s="142">
        <v>0</v>
      </c>
      <c r="J1268" s="117">
        <v>0</v>
      </c>
      <c r="K1268" s="117">
        <v>0</v>
      </c>
      <c r="L1268" s="117">
        <v>0</v>
      </c>
      <c r="M1268" s="117">
        <v>0</v>
      </c>
      <c r="N1268" s="117">
        <v>0</v>
      </c>
      <c r="O1268" s="117">
        <f>3000+3000+3000</f>
        <v>9000</v>
      </c>
      <c r="P1268" s="117">
        <v>0</v>
      </c>
      <c r="Q1268" s="117">
        <v>0</v>
      </c>
      <c r="R1268" s="117">
        <f>0+0+0+0+0+0+0+3379.08+0+3325.05</f>
        <v>6704.13</v>
      </c>
      <c r="S1268" s="117">
        <v>0</v>
      </c>
      <c r="T1268" s="117">
        <v>0</v>
      </c>
      <c r="U1268" s="153">
        <f t="shared" si="380"/>
        <v>0.74490333333333336</v>
      </c>
      <c r="V1268" s="128">
        <f t="shared" si="381"/>
        <v>9000</v>
      </c>
      <c r="W1268" s="128">
        <f t="shared" si="382"/>
        <v>0</v>
      </c>
      <c r="X1268" s="128">
        <f t="shared" si="383"/>
        <v>6704.13</v>
      </c>
      <c r="Y1268" s="128">
        <f t="shared" si="384"/>
        <v>0</v>
      </c>
      <c r="Z1268" s="195">
        <f t="shared" si="385"/>
        <v>0.74490333333333336</v>
      </c>
      <c r="AA1268" s="194">
        <f t="shared" si="386"/>
        <v>0</v>
      </c>
    </row>
    <row r="1269" spans="1:27" s="40" customFormat="1">
      <c r="A1269" s="152"/>
      <c r="B1269" s="274" t="s">
        <v>89</v>
      </c>
      <c r="C1269" s="275"/>
      <c r="D1269" s="275"/>
      <c r="E1269" s="275"/>
      <c r="F1269" s="276"/>
      <c r="G1269" s="277">
        <v>8000</v>
      </c>
      <c r="H1269" s="292"/>
      <c r="I1269" s="142">
        <v>0</v>
      </c>
      <c r="J1269" s="117">
        <v>0</v>
      </c>
      <c r="K1269" s="117">
        <v>0</v>
      </c>
      <c r="L1269" s="117">
        <v>0</v>
      </c>
      <c r="M1269" s="117">
        <v>0</v>
      </c>
      <c r="N1269" s="117">
        <v>0</v>
      </c>
      <c r="O1269" s="117">
        <v>8000</v>
      </c>
      <c r="P1269" s="117">
        <v>0</v>
      </c>
      <c r="Q1269" s="117">
        <v>0</v>
      </c>
      <c r="R1269" s="117">
        <f>0+0+0+0+0+0+0+0+0+3506</f>
        <v>3506</v>
      </c>
      <c r="S1269" s="117">
        <v>0</v>
      </c>
      <c r="T1269" s="117">
        <v>0</v>
      </c>
      <c r="U1269" s="153">
        <f t="shared" si="380"/>
        <v>0.43824999999999997</v>
      </c>
      <c r="V1269" s="128">
        <f t="shared" si="381"/>
        <v>8000</v>
      </c>
      <c r="W1269" s="128">
        <f t="shared" si="382"/>
        <v>0</v>
      </c>
      <c r="X1269" s="128">
        <f t="shared" si="383"/>
        <v>3506</v>
      </c>
      <c r="Y1269" s="128">
        <f t="shared" si="384"/>
        <v>0</v>
      </c>
      <c r="Z1269" s="195">
        <f t="shared" si="385"/>
        <v>0.43824999999999997</v>
      </c>
      <c r="AA1269" s="194">
        <f t="shared" si="386"/>
        <v>0</v>
      </c>
    </row>
    <row r="1270" spans="1:27" s="40" customFormat="1" ht="15" customHeight="1">
      <c r="A1270" s="152"/>
      <c r="B1270" s="299" t="s">
        <v>140</v>
      </c>
      <c r="C1270" s="300"/>
      <c r="D1270" s="300"/>
      <c r="E1270" s="300"/>
      <c r="F1270" s="301"/>
      <c r="G1270" s="277">
        <v>0</v>
      </c>
      <c r="H1270" s="292"/>
      <c r="I1270" s="142">
        <v>0</v>
      </c>
      <c r="J1270" s="117">
        <v>0</v>
      </c>
      <c r="K1270" s="117">
        <v>0</v>
      </c>
      <c r="L1270" s="117">
        <v>22245.599999999999</v>
      </c>
      <c r="M1270" s="117">
        <v>0</v>
      </c>
      <c r="N1270" s="117">
        <v>0</v>
      </c>
      <c r="O1270" s="117">
        <v>0</v>
      </c>
      <c r="P1270" s="117">
        <v>0</v>
      </c>
      <c r="Q1270" s="117">
        <v>0</v>
      </c>
      <c r="R1270" s="117">
        <v>22245.599999999999</v>
      </c>
      <c r="S1270" s="117">
        <v>0</v>
      </c>
      <c r="T1270" s="117">
        <v>0</v>
      </c>
      <c r="U1270" s="153">
        <f>R1270/L1270</f>
        <v>1</v>
      </c>
      <c r="V1270" s="128">
        <v>0</v>
      </c>
      <c r="W1270" s="128">
        <f t="shared" si="382"/>
        <v>0</v>
      </c>
      <c r="X1270" s="128">
        <f>+R1270</f>
        <v>22245.599999999999</v>
      </c>
      <c r="Y1270" s="128">
        <f t="shared" si="384"/>
        <v>0</v>
      </c>
      <c r="Z1270" s="195">
        <v>1</v>
      </c>
      <c r="AA1270" s="194">
        <f t="shared" si="386"/>
        <v>0</v>
      </c>
    </row>
    <row r="1271" spans="1:27" s="40" customFormat="1">
      <c r="A1271" s="152"/>
      <c r="B1271" s="274" t="s">
        <v>90</v>
      </c>
      <c r="C1271" s="275"/>
      <c r="D1271" s="275"/>
      <c r="E1271" s="275"/>
      <c r="F1271" s="276"/>
      <c r="G1271" s="277">
        <v>9000</v>
      </c>
      <c r="H1271" s="292"/>
      <c r="I1271" s="142">
        <v>0</v>
      </c>
      <c r="J1271" s="117">
        <v>0</v>
      </c>
      <c r="K1271" s="117">
        <v>0</v>
      </c>
      <c r="L1271" s="117">
        <v>3212.5</v>
      </c>
      <c r="M1271" s="117">
        <v>0</v>
      </c>
      <c r="N1271" s="117">
        <v>0</v>
      </c>
      <c r="O1271" s="117">
        <f>3000+3000+3000</f>
        <v>9000</v>
      </c>
      <c r="P1271" s="117">
        <v>0</v>
      </c>
      <c r="Q1271" s="117">
        <v>0</v>
      </c>
      <c r="R1271" s="117">
        <f>0+0+0+0+0+0+0+0+4617.12+3212.5</f>
        <v>7829.62</v>
      </c>
      <c r="S1271" s="117">
        <v>0</v>
      </c>
      <c r="T1271" s="117">
        <v>0</v>
      </c>
      <c r="U1271" s="153">
        <f t="shared" si="380"/>
        <v>0.86995777777777772</v>
      </c>
      <c r="V1271" s="128">
        <f>+I1271+O1147</f>
        <v>9000</v>
      </c>
      <c r="W1271" s="128">
        <f t="shared" si="382"/>
        <v>0</v>
      </c>
      <c r="X1271" s="128">
        <f>+L1271+R1147</f>
        <v>7829.62</v>
      </c>
      <c r="Y1271" s="128">
        <f t="shared" si="384"/>
        <v>0</v>
      </c>
      <c r="Z1271" s="195">
        <f t="shared" si="385"/>
        <v>0.86995777777777772</v>
      </c>
      <c r="AA1271" s="194">
        <f t="shared" si="386"/>
        <v>0</v>
      </c>
    </row>
    <row r="1272" spans="1:27" s="40" customFormat="1">
      <c r="A1272" s="152"/>
      <c r="B1272" s="274" t="s">
        <v>64</v>
      </c>
      <c r="C1272" s="275"/>
      <c r="D1272" s="275"/>
      <c r="E1272" s="275"/>
      <c r="F1272" s="276"/>
      <c r="G1272" s="277">
        <v>3750</v>
      </c>
      <c r="H1272" s="292"/>
      <c r="I1272" s="142">
        <v>1250</v>
      </c>
      <c r="J1272" s="117">
        <v>0</v>
      </c>
      <c r="K1272" s="117">
        <v>0</v>
      </c>
      <c r="L1272" s="117">
        <v>622</v>
      </c>
      <c r="M1272" s="117">
        <v>0</v>
      </c>
      <c r="N1272" s="117">
        <v>0</v>
      </c>
      <c r="O1272" s="117">
        <f>1250+1250+1250</f>
        <v>3750</v>
      </c>
      <c r="P1272" s="117">
        <v>0</v>
      </c>
      <c r="Q1272" s="117">
        <v>0</v>
      </c>
      <c r="R1272" s="117">
        <f>622+200+184+622</f>
        <v>1628</v>
      </c>
      <c r="S1272" s="117">
        <v>0</v>
      </c>
      <c r="T1272" s="117">
        <v>0</v>
      </c>
      <c r="U1272" s="153">
        <f t="shared" si="380"/>
        <v>0.43413333333333332</v>
      </c>
      <c r="V1272" s="128">
        <f t="shared" ref="V1272" si="387">+I1272+O1148</f>
        <v>3750</v>
      </c>
      <c r="W1272" s="128">
        <f t="shared" ref="W1272:W1275" si="388">+O1272-V1272</f>
        <v>0</v>
      </c>
      <c r="X1272" s="128">
        <f t="shared" ref="X1272" si="389">+L1272+R1148</f>
        <v>1628</v>
      </c>
      <c r="Y1272" s="128">
        <f t="shared" ref="Y1272:Y1275" si="390">+R1272-X1272</f>
        <v>0</v>
      </c>
      <c r="Z1272" s="195">
        <f t="shared" ref="Z1272:Z1275" si="391">+X1272/G1272</f>
        <v>0.43413333333333332</v>
      </c>
      <c r="AA1272" s="194">
        <f t="shared" ref="AA1272:AA1275" si="392">+U1272-Z1272</f>
        <v>0</v>
      </c>
    </row>
    <row r="1273" spans="1:27" s="40" customFormat="1">
      <c r="A1273" s="152"/>
      <c r="B1273" s="299" t="s">
        <v>144</v>
      </c>
      <c r="C1273" s="300"/>
      <c r="D1273" s="300"/>
      <c r="E1273" s="300"/>
      <c r="F1273" s="301"/>
      <c r="G1273" s="277">
        <v>0</v>
      </c>
      <c r="H1273" s="292"/>
      <c r="I1273" s="142">
        <v>0</v>
      </c>
      <c r="J1273" s="117">
        <v>0</v>
      </c>
      <c r="K1273" s="117">
        <v>0</v>
      </c>
      <c r="L1273" s="117">
        <v>1833</v>
      </c>
      <c r="M1273" s="117">
        <v>0</v>
      </c>
      <c r="N1273" s="117">
        <v>0</v>
      </c>
      <c r="O1273" s="117">
        <v>0</v>
      </c>
      <c r="P1273" s="117">
        <v>0</v>
      </c>
      <c r="Q1273" s="117">
        <v>0</v>
      </c>
      <c r="R1273" s="117">
        <v>1833</v>
      </c>
      <c r="S1273" s="117">
        <v>0</v>
      </c>
      <c r="T1273" s="117">
        <v>0</v>
      </c>
      <c r="U1273" s="153">
        <f t="shared" ref="U1273:U1274" si="393">R1273/L1273</f>
        <v>1</v>
      </c>
      <c r="V1273" s="128">
        <v>0</v>
      </c>
      <c r="W1273" s="128">
        <f t="shared" si="388"/>
        <v>0</v>
      </c>
      <c r="X1273" s="128">
        <f>+R1273</f>
        <v>1833</v>
      </c>
      <c r="Y1273" s="128">
        <f t="shared" si="390"/>
        <v>0</v>
      </c>
      <c r="Z1273" s="195">
        <v>1</v>
      </c>
      <c r="AA1273" s="194">
        <f t="shared" si="392"/>
        <v>0</v>
      </c>
    </row>
    <row r="1274" spans="1:27" s="40" customFormat="1">
      <c r="A1274" s="152"/>
      <c r="B1274" s="299" t="s">
        <v>143</v>
      </c>
      <c r="C1274" s="300"/>
      <c r="D1274" s="300"/>
      <c r="E1274" s="300"/>
      <c r="F1274" s="301"/>
      <c r="G1274" s="277">
        <v>0</v>
      </c>
      <c r="H1274" s="292"/>
      <c r="I1274" s="142">
        <v>0</v>
      </c>
      <c r="J1274" s="117">
        <v>0</v>
      </c>
      <c r="K1274" s="117">
        <v>0</v>
      </c>
      <c r="L1274" s="117">
        <v>34720</v>
      </c>
      <c r="M1274" s="117">
        <v>0</v>
      </c>
      <c r="N1274" s="117">
        <v>0</v>
      </c>
      <c r="O1274" s="117">
        <v>0</v>
      </c>
      <c r="P1274" s="117">
        <v>0</v>
      </c>
      <c r="Q1274" s="117">
        <v>0</v>
      </c>
      <c r="R1274" s="117">
        <v>34720</v>
      </c>
      <c r="S1274" s="117">
        <v>0</v>
      </c>
      <c r="T1274" s="117">
        <v>0</v>
      </c>
      <c r="U1274" s="153">
        <f t="shared" si="393"/>
        <v>1</v>
      </c>
      <c r="V1274" s="128">
        <v>0</v>
      </c>
      <c r="W1274" s="128">
        <f t="shared" si="388"/>
        <v>0</v>
      </c>
      <c r="X1274" s="128">
        <f>+R1274</f>
        <v>34720</v>
      </c>
      <c r="Y1274" s="128">
        <f t="shared" si="390"/>
        <v>0</v>
      </c>
      <c r="Z1274" s="195">
        <v>1</v>
      </c>
      <c r="AA1274" s="194">
        <f t="shared" si="392"/>
        <v>0</v>
      </c>
    </row>
    <row r="1275" spans="1:27" s="40" customFormat="1">
      <c r="A1275" s="152"/>
      <c r="B1275" s="274" t="s">
        <v>91</v>
      </c>
      <c r="C1275" s="275"/>
      <c r="D1275" s="275"/>
      <c r="E1275" s="275"/>
      <c r="F1275" s="276"/>
      <c r="G1275" s="277">
        <v>6000</v>
      </c>
      <c r="H1275" s="292"/>
      <c r="I1275" s="142">
        <v>0</v>
      </c>
      <c r="J1275" s="117">
        <v>0</v>
      </c>
      <c r="K1275" s="117">
        <v>0</v>
      </c>
      <c r="L1275" s="117">
        <v>0</v>
      </c>
      <c r="M1275" s="117">
        <v>0</v>
      </c>
      <c r="N1275" s="117">
        <v>0</v>
      </c>
      <c r="O1275" s="117">
        <v>6000</v>
      </c>
      <c r="P1275" s="117">
        <v>0</v>
      </c>
      <c r="Q1275" s="117">
        <v>0</v>
      </c>
      <c r="R1275" s="117">
        <f>0+0+0+0+0+0+0+0+0+5300</f>
        <v>5300</v>
      </c>
      <c r="S1275" s="117">
        <v>0</v>
      </c>
      <c r="T1275" s="117">
        <v>0</v>
      </c>
      <c r="U1275" s="153">
        <f t="shared" si="380"/>
        <v>0.8833333333333333</v>
      </c>
      <c r="V1275" s="128">
        <f>+I1275+O1149</f>
        <v>6000</v>
      </c>
      <c r="W1275" s="128">
        <f t="shared" si="388"/>
        <v>0</v>
      </c>
      <c r="X1275" s="128">
        <f>+L1275+R1149</f>
        <v>5300</v>
      </c>
      <c r="Y1275" s="128">
        <f t="shared" si="390"/>
        <v>0</v>
      </c>
      <c r="Z1275" s="195">
        <f t="shared" si="391"/>
        <v>0.8833333333333333</v>
      </c>
      <c r="AA1275" s="194">
        <f t="shared" si="392"/>
        <v>0</v>
      </c>
    </row>
    <row r="1276" spans="1:27" s="40" customFormat="1">
      <c r="A1276" s="152"/>
      <c r="B1276" s="274" t="s">
        <v>81</v>
      </c>
      <c r="C1276" s="275"/>
      <c r="D1276" s="275"/>
      <c r="E1276" s="275"/>
      <c r="F1276" s="276"/>
      <c r="G1276" s="277">
        <v>195000</v>
      </c>
      <c r="H1276" s="292"/>
      <c r="I1276" s="142">
        <v>13000</v>
      </c>
      <c r="J1276" s="117">
        <v>0</v>
      </c>
      <c r="K1276" s="117">
        <v>0</v>
      </c>
      <c r="L1276" s="117">
        <v>11440.3</v>
      </c>
      <c r="M1276" s="117">
        <v>0</v>
      </c>
      <c r="N1276" s="117">
        <v>0</v>
      </c>
      <c r="O1276" s="117">
        <f>26000+26000+26000+13000+13000+13000+13000+13000+13000+13000+13000</f>
        <v>182000</v>
      </c>
      <c r="P1276" s="117">
        <v>0</v>
      </c>
      <c r="Q1276" s="117">
        <v>0</v>
      </c>
      <c r="R1276" s="117">
        <f>23416.71+27887.03+23419.61+15279.25+11463.61+13780.18+9596.71+15708.75+11521.67+13803.49+11440.3</f>
        <v>177317.31</v>
      </c>
      <c r="S1276" s="117">
        <v>0</v>
      </c>
      <c r="T1276" s="117">
        <v>0</v>
      </c>
      <c r="U1276" s="153">
        <f t="shared" si="380"/>
        <v>0.90931953846153846</v>
      </c>
      <c r="V1276" s="128">
        <f t="shared" ref="V1276:V1277" si="394">+I1276+O1150</f>
        <v>182000</v>
      </c>
      <c r="W1276" s="128">
        <f t="shared" ref="W1276:W1278" si="395">+O1276-V1276</f>
        <v>0</v>
      </c>
      <c r="X1276" s="128">
        <f t="shared" ref="X1276:X1277" si="396">+L1276+R1150</f>
        <v>177317.31</v>
      </c>
      <c r="Y1276" s="128">
        <f t="shared" ref="Y1276:Y1278" si="397">+R1276-X1276</f>
        <v>0</v>
      </c>
      <c r="Z1276" s="195">
        <f t="shared" ref="Z1276:Z1278" si="398">+X1276/G1276</f>
        <v>0.90931953846153846</v>
      </c>
      <c r="AA1276" s="194">
        <f t="shared" ref="AA1276:AA1278" si="399">+U1276-Z1276</f>
        <v>0</v>
      </c>
    </row>
    <row r="1277" spans="1:27" s="40" customFormat="1" ht="15" customHeight="1">
      <c r="A1277" s="152"/>
      <c r="B1277" s="274" t="s">
        <v>132</v>
      </c>
      <c r="C1277" s="275"/>
      <c r="D1277" s="275"/>
      <c r="E1277" s="275"/>
      <c r="F1277" s="276"/>
      <c r="G1277" s="277">
        <v>1900</v>
      </c>
      <c r="H1277" s="292"/>
      <c r="I1277" s="142">
        <v>0</v>
      </c>
      <c r="J1277" s="117">
        <v>0</v>
      </c>
      <c r="K1277" s="117">
        <v>0</v>
      </c>
      <c r="L1277" s="117">
        <v>0</v>
      </c>
      <c r="M1277" s="117">
        <v>0</v>
      </c>
      <c r="N1277" s="117">
        <v>0</v>
      </c>
      <c r="O1277" s="117">
        <v>1900</v>
      </c>
      <c r="P1277" s="117">
        <v>0</v>
      </c>
      <c r="Q1277" s="117">
        <v>0</v>
      </c>
      <c r="R1277" s="117">
        <f>0+1893.11</f>
        <v>1893.11</v>
      </c>
      <c r="S1277" s="117">
        <v>0</v>
      </c>
      <c r="T1277" s="117">
        <v>0</v>
      </c>
      <c r="U1277" s="153">
        <f>R1277/G1277</f>
        <v>0.9963736842105263</v>
      </c>
      <c r="V1277" s="128">
        <f t="shared" si="394"/>
        <v>1900</v>
      </c>
      <c r="W1277" s="128">
        <f t="shared" si="395"/>
        <v>0</v>
      </c>
      <c r="X1277" s="128">
        <f t="shared" si="396"/>
        <v>1893.11</v>
      </c>
      <c r="Y1277" s="128">
        <f t="shared" si="397"/>
        <v>0</v>
      </c>
      <c r="Z1277" s="195">
        <f t="shared" si="398"/>
        <v>0.9963736842105263</v>
      </c>
      <c r="AA1277" s="194">
        <f t="shared" si="399"/>
        <v>0</v>
      </c>
    </row>
    <row r="1278" spans="1:27" s="40" customFormat="1" ht="15" customHeight="1">
      <c r="A1278" s="152"/>
      <c r="B1278" s="274" t="s">
        <v>133</v>
      </c>
      <c r="C1278" s="275"/>
      <c r="D1278" s="275"/>
      <c r="E1278" s="275"/>
      <c r="F1278" s="276"/>
      <c r="G1278" s="277">
        <v>20000</v>
      </c>
      <c r="H1278" s="292"/>
      <c r="I1278" s="142">
        <v>0</v>
      </c>
      <c r="J1278" s="116">
        <v>0</v>
      </c>
      <c r="K1278" s="116">
        <v>0</v>
      </c>
      <c r="L1278" s="116">
        <v>0</v>
      </c>
      <c r="M1278" s="116">
        <v>0</v>
      </c>
      <c r="N1278" s="116">
        <v>0</v>
      </c>
      <c r="O1278" s="116">
        <v>20000</v>
      </c>
      <c r="P1278" s="116">
        <v>0</v>
      </c>
      <c r="Q1278" s="116">
        <v>0</v>
      </c>
      <c r="R1278" s="116">
        <v>17456</v>
      </c>
      <c r="S1278" s="116">
        <v>0</v>
      </c>
      <c r="T1278" s="116">
        <v>0</v>
      </c>
      <c r="U1278" s="156">
        <f>R1278/G1278</f>
        <v>0.87280000000000002</v>
      </c>
      <c r="V1278" s="128">
        <f>+I1278+O1152</f>
        <v>20000</v>
      </c>
      <c r="W1278" s="128">
        <f t="shared" si="395"/>
        <v>0</v>
      </c>
      <c r="X1278" s="128">
        <f>+L1278+R1152</f>
        <v>17456</v>
      </c>
      <c r="Y1278" s="128">
        <f t="shared" si="397"/>
        <v>0</v>
      </c>
      <c r="Z1278" s="195">
        <f t="shared" si="398"/>
        <v>0.87280000000000002</v>
      </c>
      <c r="AA1278" s="194">
        <f t="shared" si="399"/>
        <v>0</v>
      </c>
    </row>
    <row r="1279" spans="1:27" s="40" customFormat="1" ht="15" customHeight="1">
      <c r="A1279" s="152"/>
      <c r="B1279" s="274" t="s">
        <v>134</v>
      </c>
      <c r="C1279" s="275"/>
      <c r="D1279" s="275"/>
      <c r="E1279" s="275"/>
      <c r="F1279" s="276"/>
      <c r="G1279" s="277">
        <v>7200</v>
      </c>
      <c r="H1279" s="292"/>
      <c r="I1279" s="142">
        <v>0</v>
      </c>
      <c r="J1279" s="116">
        <v>0</v>
      </c>
      <c r="K1279" s="116">
        <v>0</v>
      </c>
      <c r="L1279" s="116">
        <v>0</v>
      </c>
      <c r="M1279" s="116">
        <v>0</v>
      </c>
      <c r="N1279" s="116">
        <v>0</v>
      </c>
      <c r="O1279" s="116">
        <f>7200</f>
        <v>7200</v>
      </c>
      <c r="P1279" s="116">
        <v>0</v>
      </c>
      <c r="Q1279" s="116">
        <v>0</v>
      </c>
      <c r="R1279" s="116">
        <f>7200</f>
        <v>7200</v>
      </c>
      <c r="S1279" s="116">
        <v>0</v>
      </c>
      <c r="T1279" s="116">
        <v>0</v>
      </c>
      <c r="U1279" s="156">
        <f>R1279/G1279</f>
        <v>1</v>
      </c>
      <c r="V1279" s="128">
        <f>+I1279+O1153</f>
        <v>7200</v>
      </c>
      <c r="W1279" s="128">
        <f t="shared" ref="W1279:W1282" si="400">+O1279-V1279</f>
        <v>0</v>
      </c>
      <c r="X1279" s="128">
        <f>+L1279+R1153</f>
        <v>7200</v>
      </c>
      <c r="Y1279" s="128">
        <f t="shared" ref="Y1279:Y1282" si="401">+R1279-X1279</f>
        <v>0</v>
      </c>
      <c r="Z1279" s="195">
        <f t="shared" si="371"/>
        <v>1</v>
      </c>
      <c r="AA1279" s="194">
        <f t="shared" si="369"/>
        <v>0</v>
      </c>
    </row>
    <row r="1280" spans="1:27" s="40" customFormat="1" ht="15" customHeight="1">
      <c r="A1280" s="152"/>
      <c r="B1280" s="274" t="s">
        <v>79</v>
      </c>
      <c r="C1280" s="275"/>
      <c r="D1280" s="275"/>
      <c r="E1280" s="275"/>
      <c r="F1280" s="276"/>
      <c r="G1280" s="277">
        <v>37500</v>
      </c>
      <c r="H1280" s="292"/>
      <c r="I1280" s="142">
        <v>0</v>
      </c>
      <c r="J1280" s="116">
        <v>0</v>
      </c>
      <c r="K1280" s="116">
        <v>0</v>
      </c>
      <c r="L1280" s="116">
        <v>0</v>
      </c>
      <c r="M1280" s="116">
        <v>0</v>
      </c>
      <c r="N1280" s="116">
        <v>0</v>
      </c>
      <c r="O1280" s="116">
        <v>37500</v>
      </c>
      <c r="P1280" s="116">
        <v>0</v>
      </c>
      <c r="Q1280" s="116">
        <v>0</v>
      </c>
      <c r="R1280" s="116">
        <f>0+0+0+0+0+0+0+37500</f>
        <v>37500</v>
      </c>
      <c r="S1280" s="116">
        <v>0</v>
      </c>
      <c r="T1280" s="116">
        <v>0</v>
      </c>
      <c r="U1280" s="156">
        <f t="shared" ref="U1280:U1281" si="402">R1280/G1280</f>
        <v>1</v>
      </c>
      <c r="V1280" s="128">
        <f t="shared" ref="V1280:V1282" si="403">+I1280+O1154</f>
        <v>37500</v>
      </c>
      <c r="W1280" s="128">
        <f t="shared" si="400"/>
        <v>0</v>
      </c>
      <c r="X1280" s="128">
        <f t="shared" ref="X1280:X1282" si="404">+L1280+R1154</f>
        <v>37500</v>
      </c>
      <c r="Y1280" s="128">
        <f t="shared" si="401"/>
        <v>0</v>
      </c>
      <c r="Z1280" s="195">
        <f t="shared" si="371"/>
        <v>1</v>
      </c>
      <c r="AA1280" s="194">
        <f t="shared" si="369"/>
        <v>0</v>
      </c>
    </row>
    <row r="1281" spans="1:27" s="40" customFormat="1" ht="15" customHeight="1">
      <c r="A1281" s="152"/>
      <c r="B1281" s="274" t="s">
        <v>92</v>
      </c>
      <c r="C1281" s="275"/>
      <c r="D1281" s="275"/>
      <c r="E1281" s="275"/>
      <c r="F1281" s="276"/>
      <c r="G1281" s="277">
        <v>39600</v>
      </c>
      <c r="H1281" s="292"/>
      <c r="I1281" s="142">
        <v>0</v>
      </c>
      <c r="J1281" s="116">
        <v>0</v>
      </c>
      <c r="K1281" s="116">
        <v>0</v>
      </c>
      <c r="L1281" s="116">
        <v>0</v>
      </c>
      <c r="M1281" s="116">
        <v>0</v>
      </c>
      <c r="N1281" s="116">
        <v>0</v>
      </c>
      <c r="O1281" s="116">
        <v>39600</v>
      </c>
      <c r="P1281" s="116">
        <v>0</v>
      </c>
      <c r="Q1281" s="116">
        <v>0</v>
      </c>
      <c r="R1281" s="116">
        <v>14500</v>
      </c>
      <c r="S1281" s="116">
        <v>0</v>
      </c>
      <c r="T1281" s="116">
        <v>0</v>
      </c>
      <c r="U1281" s="156">
        <f t="shared" si="402"/>
        <v>0.36616161616161619</v>
      </c>
      <c r="V1281" s="128">
        <f t="shared" si="403"/>
        <v>39600</v>
      </c>
      <c r="W1281" s="128">
        <f t="shared" si="400"/>
        <v>0</v>
      </c>
      <c r="X1281" s="128">
        <f t="shared" si="404"/>
        <v>14500</v>
      </c>
      <c r="Y1281" s="128">
        <f t="shared" si="401"/>
        <v>0</v>
      </c>
      <c r="Z1281" s="195">
        <f t="shared" si="371"/>
        <v>0.36616161616161619</v>
      </c>
      <c r="AA1281" s="194">
        <f t="shared" si="369"/>
        <v>0</v>
      </c>
    </row>
    <row r="1282" spans="1:27" s="40" customFormat="1">
      <c r="A1282" s="152"/>
      <c r="B1282" s="274" t="s">
        <v>65</v>
      </c>
      <c r="C1282" s="275"/>
      <c r="D1282" s="275"/>
      <c r="E1282" s="275"/>
      <c r="F1282" s="276"/>
      <c r="G1282" s="277">
        <v>23750</v>
      </c>
      <c r="H1282" s="292"/>
      <c r="I1282" s="142">
        <v>2500</v>
      </c>
      <c r="J1282" s="116">
        <v>0</v>
      </c>
      <c r="K1282" s="116">
        <v>0</v>
      </c>
      <c r="L1282" s="116">
        <v>3125</v>
      </c>
      <c r="M1282" s="116">
        <v>0</v>
      </c>
      <c r="N1282" s="116">
        <v>0</v>
      </c>
      <c r="O1282" s="116">
        <f>3750+2500+15000+2500</f>
        <v>23750</v>
      </c>
      <c r="P1282" s="116">
        <v>0</v>
      </c>
      <c r="Q1282" s="116">
        <v>0</v>
      </c>
      <c r="R1282" s="116">
        <f>2126.81+1754.81+410+3125</f>
        <v>7416.62</v>
      </c>
      <c r="S1282" s="116">
        <v>0</v>
      </c>
      <c r="T1282" s="116">
        <v>0</v>
      </c>
      <c r="U1282" s="156">
        <f>R1282/G1282</f>
        <v>0.31227873684210528</v>
      </c>
      <c r="V1282" s="128">
        <f t="shared" si="403"/>
        <v>23750</v>
      </c>
      <c r="W1282" s="128">
        <f t="shared" si="400"/>
        <v>0</v>
      </c>
      <c r="X1282" s="128">
        <f t="shared" si="404"/>
        <v>7416.62</v>
      </c>
      <c r="Y1282" s="128">
        <f t="shared" si="401"/>
        <v>0</v>
      </c>
      <c r="Z1282" s="195">
        <f t="shared" si="371"/>
        <v>0.31227873684210528</v>
      </c>
      <c r="AA1282" s="194">
        <f t="shared" si="369"/>
        <v>0</v>
      </c>
    </row>
    <row r="1283" spans="1:27" s="40" customFormat="1" ht="15.75" thickBot="1">
      <c r="A1283" s="152"/>
      <c r="B1283" s="293"/>
      <c r="C1283" s="294"/>
      <c r="D1283" s="294"/>
      <c r="E1283" s="294"/>
      <c r="F1283" s="295"/>
      <c r="G1283" s="282"/>
      <c r="H1283" s="296"/>
      <c r="I1283" s="142"/>
      <c r="J1283" s="116"/>
      <c r="K1283" s="116"/>
      <c r="L1283" s="116"/>
      <c r="M1283" s="116"/>
      <c r="N1283" s="116"/>
      <c r="O1283" s="116"/>
      <c r="P1283" s="116"/>
      <c r="Q1283" s="116"/>
      <c r="R1283" s="116"/>
      <c r="S1283" s="116"/>
      <c r="T1283" s="116"/>
      <c r="U1283" s="176"/>
    </row>
    <row r="1284" spans="1:27" s="40" customFormat="1" ht="15.75" thickBot="1">
      <c r="A1284" s="152"/>
      <c r="B1284" s="483" t="s">
        <v>21</v>
      </c>
      <c r="C1284" s="484"/>
      <c r="D1284" s="484"/>
      <c r="E1284" s="484"/>
      <c r="F1284" s="485"/>
      <c r="G1284" s="486">
        <f>SUM(G1257:H1283)</f>
        <v>675408</v>
      </c>
      <c r="H1284" s="487"/>
      <c r="I1284" s="188">
        <f>SUM(I1257:I1283)</f>
        <v>41250</v>
      </c>
      <c r="J1284" s="188"/>
      <c r="K1284" s="188"/>
      <c r="L1284" s="188">
        <f>SUM(L1257:L1283)</f>
        <v>142319.32999999999</v>
      </c>
      <c r="M1284" s="188"/>
      <c r="N1284" s="188"/>
      <c r="O1284" s="188">
        <f>SUM(O1257:O1283)</f>
        <v>624908</v>
      </c>
      <c r="P1284" s="188"/>
      <c r="Q1284" s="188"/>
      <c r="R1284" s="188">
        <f>SUM(R1257:R1283)</f>
        <v>621249.30000000005</v>
      </c>
      <c r="S1284" s="188"/>
      <c r="T1284" s="189"/>
      <c r="U1284" s="190">
        <f>R1284/G1284</f>
        <v>0.919813357259612</v>
      </c>
      <c r="V1284" s="128">
        <f t="shared" ref="V1284" si="405">+I1284+O1158</f>
        <v>624908</v>
      </c>
      <c r="W1284" s="128">
        <f t="shared" ref="W1284" si="406">+O1284-V1284</f>
        <v>0</v>
      </c>
      <c r="X1284" s="128">
        <f t="shared" ref="X1284" si="407">+L1284+R1158</f>
        <v>621249.29999999993</v>
      </c>
      <c r="Y1284" s="128">
        <f t="shared" ref="Y1284" si="408">+R1284-X1284</f>
        <v>0</v>
      </c>
      <c r="Z1284" s="195">
        <f t="shared" ref="Z1284" si="409">+X1284/G1284</f>
        <v>0.91981335725961189</v>
      </c>
      <c r="AA1284" s="194">
        <f t="shared" ref="AA1284" si="410">+U1284-Z1284</f>
        <v>0</v>
      </c>
    </row>
    <row r="1285" spans="1:27" s="40" customFormat="1" ht="15.75" thickBot="1">
      <c r="A1285" s="152"/>
      <c r="B1285" s="280"/>
      <c r="C1285" s="280"/>
      <c r="D1285" s="280"/>
      <c r="E1285" s="280"/>
      <c r="F1285" s="280"/>
      <c r="G1285" s="488"/>
      <c r="H1285" s="488"/>
      <c r="I1285" s="142"/>
      <c r="J1285" s="142"/>
      <c r="K1285" s="142"/>
      <c r="L1285" s="142"/>
      <c r="M1285" s="142"/>
      <c r="N1285" s="142"/>
      <c r="O1285" s="142"/>
      <c r="P1285" s="142"/>
      <c r="Q1285" s="142"/>
      <c r="R1285" s="142"/>
      <c r="S1285" s="142"/>
      <c r="T1285" s="142"/>
      <c r="U1285" s="191"/>
    </row>
    <row r="1286" spans="1:27" s="40" customFormat="1" ht="15.75" thickBot="1">
      <c r="A1286" s="152"/>
      <c r="B1286" s="489" t="s">
        <v>30</v>
      </c>
      <c r="C1286" s="490"/>
      <c r="D1286" s="490"/>
      <c r="E1286" s="490"/>
      <c r="F1286" s="490"/>
      <c r="G1286" s="490"/>
      <c r="H1286" s="490"/>
      <c r="I1286" s="490"/>
      <c r="J1286" s="490"/>
      <c r="K1286" s="490"/>
      <c r="L1286" s="490"/>
      <c r="M1286" s="490"/>
      <c r="N1286" s="490"/>
      <c r="O1286" s="490"/>
      <c r="P1286" s="490"/>
      <c r="Q1286" s="490"/>
      <c r="R1286" s="490"/>
      <c r="S1286" s="490"/>
      <c r="T1286" s="490"/>
      <c r="U1286" s="491"/>
    </row>
    <row r="1287" spans="1:27" s="40" customFormat="1" ht="15" customHeight="1">
      <c r="A1287" s="152"/>
      <c r="B1287" s="287" t="s">
        <v>80</v>
      </c>
      <c r="C1287" s="288"/>
      <c r="D1287" s="288"/>
      <c r="E1287" s="288"/>
      <c r="F1287" s="289"/>
      <c r="G1287" s="290">
        <v>11500</v>
      </c>
      <c r="H1287" s="291"/>
      <c r="I1287" s="161">
        <v>0</v>
      </c>
      <c r="J1287" s="161">
        <v>0</v>
      </c>
      <c r="K1287" s="161">
        <v>0</v>
      </c>
      <c r="L1287" s="161">
        <v>0</v>
      </c>
      <c r="M1287" s="161">
        <v>0</v>
      </c>
      <c r="N1287" s="161">
        <v>0</v>
      </c>
      <c r="O1287" s="161">
        <f>11500+0</f>
        <v>11500</v>
      </c>
      <c r="P1287" s="161">
        <v>0</v>
      </c>
      <c r="Q1287" s="161">
        <v>0</v>
      </c>
      <c r="R1287" s="161">
        <f>3804.87+5883.7+1811.43</f>
        <v>11500</v>
      </c>
      <c r="S1287" s="161">
        <v>0</v>
      </c>
      <c r="T1287" s="141">
        <v>0</v>
      </c>
      <c r="U1287" s="162">
        <f t="shared" ref="U1287:U1294" si="411">R1287/G1287</f>
        <v>1</v>
      </c>
      <c r="V1287" s="128">
        <f t="shared" ref="V1287:V1294" si="412">+I1287+O1161</f>
        <v>11500</v>
      </c>
      <c r="W1287" s="128">
        <f t="shared" ref="W1287:W1294" si="413">+O1287-V1287</f>
        <v>0</v>
      </c>
      <c r="X1287" s="128">
        <f t="shared" ref="X1287:X1294" si="414">+L1287+R1161</f>
        <v>11500</v>
      </c>
      <c r="Y1287" s="128">
        <f t="shared" ref="Y1287:Y1294" si="415">+R1287-X1287</f>
        <v>0</v>
      </c>
      <c r="Z1287" s="195">
        <f t="shared" ref="Z1287:Z1294" si="416">+X1287/G1287</f>
        <v>1</v>
      </c>
      <c r="AA1287" s="194">
        <f t="shared" ref="AA1287:AA1294" si="417">+U1287-Z1287</f>
        <v>0</v>
      </c>
    </row>
    <row r="1288" spans="1:27" s="40" customFormat="1">
      <c r="A1288" s="152"/>
      <c r="B1288" s="274" t="s">
        <v>124</v>
      </c>
      <c r="C1288" s="275"/>
      <c r="D1288" s="275"/>
      <c r="E1288" s="275"/>
      <c r="F1288" s="276"/>
      <c r="G1288" s="277">
        <v>30000</v>
      </c>
      <c r="H1288" s="278"/>
      <c r="I1288" s="116">
        <v>0</v>
      </c>
      <c r="J1288" s="116">
        <v>0</v>
      </c>
      <c r="K1288" s="116">
        <v>0</v>
      </c>
      <c r="L1288" s="116">
        <v>0</v>
      </c>
      <c r="M1288" s="116">
        <v>0</v>
      </c>
      <c r="N1288" s="116">
        <v>0</v>
      </c>
      <c r="O1288" s="116">
        <v>0</v>
      </c>
      <c r="P1288" s="116">
        <v>0</v>
      </c>
      <c r="Q1288" s="116">
        <v>0</v>
      </c>
      <c r="R1288" s="116">
        <v>0</v>
      </c>
      <c r="S1288" s="116">
        <v>0</v>
      </c>
      <c r="T1288" s="117">
        <v>0</v>
      </c>
      <c r="U1288" s="153">
        <f t="shared" si="411"/>
        <v>0</v>
      </c>
      <c r="V1288" s="128">
        <f t="shared" si="412"/>
        <v>0</v>
      </c>
      <c r="W1288" s="128">
        <f t="shared" si="413"/>
        <v>0</v>
      </c>
      <c r="X1288" s="128">
        <f t="shared" si="414"/>
        <v>0</v>
      </c>
      <c r="Y1288" s="128">
        <f t="shared" si="415"/>
        <v>0</v>
      </c>
      <c r="Z1288" s="195">
        <f t="shared" si="416"/>
        <v>0</v>
      </c>
      <c r="AA1288" s="194">
        <f t="shared" si="417"/>
        <v>0</v>
      </c>
    </row>
    <row r="1289" spans="1:27" s="40" customFormat="1">
      <c r="A1289" s="152"/>
      <c r="B1289" s="274" t="s">
        <v>68</v>
      </c>
      <c r="C1289" s="275"/>
      <c r="D1289" s="275"/>
      <c r="E1289" s="275"/>
      <c r="F1289" s="276"/>
      <c r="G1289" s="277">
        <v>12328</v>
      </c>
      <c r="H1289" s="278"/>
      <c r="I1289" s="116">
        <v>0</v>
      </c>
      <c r="J1289" s="116">
        <v>0</v>
      </c>
      <c r="K1289" s="116">
        <v>0</v>
      </c>
      <c r="L1289" s="116">
        <v>0</v>
      </c>
      <c r="M1289" s="116">
        <v>0</v>
      </c>
      <c r="N1289" s="116">
        <v>0</v>
      </c>
      <c r="O1289" s="116">
        <v>12328</v>
      </c>
      <c r="P1289" s="116">
        <v>0</v>
      </c>
      <c r="Q1289" s="116">
        <v>0</v>
      </c>
      <c r="R1289" s="116">
        <v>12328</v>
      </c>
      <c r="S1289" s="116">
        <v>0</v>
      </c>
      <c r="T1289" s="117">
        <v>0</v>
      </c>
      <c r="U1289" s="153">
        <f t="shared" si="411"/>
        <v>1</v>
      </c>
      <c r="V1289" s="128">
        <f t="shared" si="412"/>
        <v>12328</v>
      </c>
      <c r="W1289" s="128">
        <f t="shared" si="413"/>
        <v>0</v>
      </c>
      <c r="X1289" s="128">
        <f t="shared" si="414"/>
        <v>12328</v>
      </c>
      <c r="Y1289" s="128">
        <f t="shared" si="415"/>
        <v>0</v>
      </c>
      <c r="Z1289" s="195">
        <f t="shared" si="416"/>
        <v>1</v>
      </c>
      <c r="AA1289" s="194">
        <f t="shared" si="417"/>
        <v>0</v>
      </c>
    </row>
    <row r="1290" spans="1:27" s="40" customFormat="1" ht="15" customHeight="1">
      <c r="A1290" s="152"/>
      <c r="B1290" s="274" t="s">
        <v>66</v>
      </c>
      <c r="C1290" s="275"/>
      <c r="D1290" s="275"/>
      <c r="E1290" s="275"/>
      <c r="F1290" s="276"/>
      <c r="G1290" s="277">
        <v>16000</v>
      </c>
      <c r="H1290" s="278"/>
      <c r="I1290" s="116">
        <v>0</v>
      </c>
      <c r="J1290" s="116">
        <v>0</v>
      </c>
      <c r="K1290" s="116">
        <v>0</v>
      </c>
      <c r="L1290" s="116">
        <v>0</v>
      </c>
      <c r="M1290" s="116">
        <v>0</v>
      </c>
      <c r="N1290" s="116">
        <v>0</v>
      </c>
      <c r="O1290" s="116">
        <v>16000</v>
      </c>
      <c r="P1290" s="116">
        <v>0</v>
      </c>
      <c r="Q1290" s="116">
        <v>0</v>
      </c>
      <c r="R1290" s="116">
        <f>0+0+0+0+6710.67+9289.33</f>
        <v>16000</v>
      </c>
      <c r="S1290" s="116">
        <v>0</v>
      </c>
      <c r="T1290" s="117">
        <v>0</v>
      </c>
      <c r="U1290" s="153">
        <f t="shared" si="411"/>
        <v>1</v>
      </c>
      <c r="V1290" s="128">
        <f t="shared" si="412"/>
        <v>16000</v>
      </c>
      <c r="W1290" s="128">
        <f t="shared" si="413"/>
        <v>0</v>
      </c>
      <c r="X1290" s="128">
        <f t="shared" si="414"/>
        <v>16000</v>
      </c>
      <c r="Y1290" s="128">
        <f t="shared" si="415"/>
        <v>0</v>
      </c>
      <c r="Z1290" s="195">
        <f t="shared" si="416"/>
        <v>1</v>
      </c>
      <c r="AA1290" s="194">
        <f t="shared" si="417"/>
        <v>0</v>
      </c>
    </row>
    <row r="1291" spans="1:27" s="40" customFormat="1" ht="15" customHeight="1">
      <c r="A1291" s="152"/>
      <c r="B1291" s="274" t="s">
        <v>67</v>
      </c>
      <c r="C1291" s="275"/>
      <c r="D1291" s="275"/>
      <c r="E1291" s="275"/>
      <c r="F1291" s="276"/>
      <c r="G1291" s="277">
        <v>15000</v>
      </c>
      <c r="H1291" s="278"/>
      <c r="I1291" s="116">
        <v>0</v>
      </c>
      <c r="J1291" s="116">
        <v>0</v>
      </c>
      <c r="K1291" s="116">
        <v>0</v>
      </c>
      <c r="L1291" s="116">
        <v>15000</v>
      </c>
      <c r="M1291" s="116">
        <v>0</v>
      </c>
      <c r="N1291" s="116">
        <v>0</v>
      </c>
      <c r="O1291" s="116">
        <v>0</v>
      </c>
      <c r="P1291" s="116">
        <v>0</v>
      </c>
      <c r="Q1291" s="116">
        <v>0</v>
      </c>
      <c r="R1291" s="116">
        <v>15000</v>
      </c>
      <c r="S1291" s="116">
        <v>0</v>
      </c>
      <c r="T1291" s="117">
        <v>0</v>
      </c>
      <c r="U1291" s="153">
        <f t="shared" si="411"/>
        <v>1</v>
      </c>
      <c r="V1291" s="128">
        <f t="shared" si="412"/>
        <v>0</v>
      </c>
      <c r="W1291" s="128">
        <f t="shared" si="413"/>
        <v>0</v>
      </c>
      <c r="X1291" s="128">
        <f t="shared" si="414"/>
        <v>15000</v>
      </c>
      <c r="Y1291" s="128">
        <f t="shared" si="415"/>
        <v>0</v>
      </c>
      <c r="Z1291" s="195">
        <f t="shared" si="416"/>
        <v>1</v>
      </c>
      <c r="AA1291" s="194">
        <f t="shared" si="417"/>
        <v>0</v>
      </c>
    </row>
    <row r="1292" spans="1:27" s="40" customFormat="1" ht="15" customHeight="1">
      <c r="A1292" s="152"/>
      <c r="B1292" s="274" t="s">
        <v>93</v>
      </c>
      <c r="C1292" s="275"/>
      <c r="D1292" s="275"/>
      <c r="E1292" s="275"/>
      <c r="F1292" s="276"/>
      <c r="G1292" s="277">
        <v>12000</v>
      </c>
      <c r="H1292" s="278"/>
      <c r="I1292" s="116">
        <v>0</v>
      </c>
      <c r="J1292" s="116">
        <v>0</v>
      </c>
      <c r="K1292" s="116">
        <v>0</v>
      </c>
      <c r="L1292" s="116">
        <v>0</v>
      </c>
      <c r="M1292" s="116">
        <v>0</v>
      </c>
      <c r="N1292" s="116">
        <v>0</v>
      </c>
      <c r="O1292" s="116">
        <f>6000+6000</f>
        <v>12000</v>
      </c>
      <c r="P1292" s="116">
        <v>0</v>
      </c>
      <c r="Q1292" s="116">
        <v>0</v>
      </c>
      <c r="R1292" s="116">
        <v>12000</v>
      </c>
      <c r="S1292" s="116">
        <v>0</v>
      </c>
      <c r="T1292" s="117">
        <v>0</v>
      </c>
      <c r="U1292" s="153">
        <f t="shared" si="411"/>
        <v>1</v>
      </c>
      <c r="V1292" s="128">
        <f t="shared" si="412"/>
        <v>12000</v>
      </c>
      <c r="W1292" s="128">
        <f t="shared" si="413"/>
        <v>0</v>
      </c>
      <c r="X1292" s="128">
        <f t="shared" si="414"/>
        <v>12000</v>
      </c>
      <c r="Y1292" s="128">
        <f t="shared" si="415"/>
        <v>0</v>
      </c>
      <c r="Z1292" s="195">
        <f t="shared" si="416"/>
        <v>1</v>
      </c>
      <c r="AA1292" s="194">
        <f t="shared" si="417"/>
        <v>0</v>
      </c>
    </row>
    <row r="1293" spans="1:27" s="40" customFormat="1" ht="15" customHeight="1">
      <c r="A1293" s="152"/>
      <c r="B1293" s="274" t="s">
        <v>69</v>
      </c>
      <c r="C1293" s="275"/>
      <c r="D1293" s="275"/>
      <c r="E1293" s="275"/>
      <c r="F1293" s="276"/>
      <c r="G1293" s="277">
        <v>4400</v>
      </c>
      <c r="H1293" s="278"/>
      <c r="I1293" s="116">
        <v>0</v>
      </c>
      <c r="J1293" s="116">
        <v>0</v>
      </c>
      <c r="K1293" s="116">
        <v>0</v>
      </c>
      <c r="L1293" s="116">
        <v>0</v>
      </c>
      <c r="M1293" s="116">
        <v>0</v>
      </c>
      <c r="N1293" s="116">
        <v>0</v>
      </c>
      <c r="O1293" s="116">
        <v>4400</v>
      </c>
      <c r="P1293" s="116">
        <v>0</v>
      </c>
      <c r="Q1293" s="116">
        <v>0</v>
      </c>
      <c r="R1293" s="116">
        <f>1952.17+1047.39+601.81</f>
        <v>3601.3700000000003</v>
      </c>
      <c r="S1293" s="116">
        <v>0</v>
      </c>
      <c r="T1293" s="117">
        <v>0</v>
      </c>
      <c r="U1293" s="153">
        <f t="shared" si="411"/>
        <v>0.81849318181818187</v>
      </c>
      <c r="V1293" s="128">
        <f t="shared" si="412"/>
        <v>4400</v>
      </c>
      <c r="W1293" s="128">
        <f t="shared" si="413"/>
        <v>0</v>
      </c>
      <c r="X1293" s="128">
        <f t="shared" si="414"/>
        <v>3601.3700000000003</v>
      </c>
      <c r="Y1293" s="128">
        <f t="shared" si="415"/>
        <v>0</v>
      </c>
      <c r="Z1293" s="195">
        <f t="shared" si="416"/>
        <v>0.81849318181818187</v>
      </c>
      <c r="AA1293" s="194">
        <f t="shared" si="417"/>
        <v>0</v>
      </c>
    </row>
    <row r="1294" spans="1:27" s="40" customFormat="1" ht="15" customHeight="1">
      <c r="A1294" s="152"/>
      <c r="B1294" s="274" t="s">
        <v>94</v>
      </c>
      <c r="C1294" s="275"/>
      <c r="D1294" s="275"/>
      <c r="E1294" s="275"/>
      <c r="F1294" s="276"/>
      <c r="G1294" s="277">
        <v>3200</v>
      </c>
      <c r="H1294" s="278"/>
      <c r="I1294" s="116">
        <v>800</v>
      </c>
      <c r="J1294" s="116">
        <v>0</v>
      </c>
      <c r="K1294" s="116">
        <v>0</v>
      </c>
      <c r="L1294" s="116">
        <v>0</v>
      </c>
      <c r="M1294" s="116">
        <v>0</v>
      </c>
      <c r="N1294" s="116">
        <v>0</v>
      </c>
      <c r="O1294" s="116">
        <f>800+800+800+800</f>
        <v>3200</v>
      </c>
      <c r="P1294" s="116">
        <v>0</v>
      </c>
      <c r="Q1294" s="116">
        <v>0</v>
      </c>
      <c r="R1294" s="116">
        <f>2289+911</f>
        <v>3200</v>
      </c>
      <c r="S1294" s="116">
        <v>0</v>
      </c>
      <c r="T1294" s="117">
        <v>0</v>
      </c>
      <c r="U1294" s="153">
        <f t="shared" si="411"/>
        <v>1</v>
      </c>
      <c r="V1294" s="128">
        <f t="shared" si="412"/>
        <v>3200</v>
      </c>
      <c r="W1294" s="128">
        <f t="shared" si="413"/>
        <v>0</v>
      </c>
      <c r="X1294" s="128">
        <f t="shared" si="414"/>
        <v>3200</v>
      </c>
      <c r="Y1294" s="128">
        <f t="shared" si="415"/>
        <v>0</v>
      </c>
      <c r="Z1294" s="195">
        <f t="shared" si="416"/>
        <v>1</v>
      </c>
      <c r="AA1294" s="194">
        <f t="shared" si="417"/>
        <v>0</v>
      </c>
    </row>
    <row r="1295" spans="1:27" ht="15.75" thickBot="1">
      <c r="A1295" s="23"/>
      <c r="B1295" s="469"/>
      <c r="C1295" s="297"/>
      <c r="D1295" s="297"/>
      <c r="E1295" s="297"/>
      <c r="F1295" s="470"/>
      <c r="G1295" s="456"/>
      <c r="H1295" s="468"/>
      <c r="I1295" s="55"/>
      <c r="J1295" s="55"/>
      <c r="K1295" s="55"/>
      <c r="L1295" s="55"/>
      <c r="M1295" s="55"/>
      <c r="N1295" s="55"/>
      <c r="O1295" s="55"/>
      <c r="P1295" s="55"/>
      <c r="Q1295" s="55"/>
      <c r="R1295" s="55"/>
      <c r="S1295" s="55"/>
      <c r="T1295" s="76"/>
      <c r="U1295" s="77"/>
    </row>
    <row r="1296" spans="1:27" ht="15.75" thickBot="1">
      <c r="A1296" s="23"/>
      <c r="B1296" s="257" t="s">
        <v>21</v>
      </c>
      <c r="C1296" s="258"/>
      <c r="D1296" s="258"/>
      <c r="E1296" s="258"/>
      <c r="F1296" s="259"/>
      <c r="G1296" s="260">
        <f>SUM(G1287:H1295)</f>
        <v>104428</v>
      </c>
      <c r="H1296" s="261"/>
      <c r="I1296" s="29">
        <f>SUM(I1287:I1295)</f>
        <v>800</v>
      </c>
      <c r="J1296" s="29"/>
      <c r="K1296" s="29"/>
      <c r="L1296" s="29">
        <f>SUM(L1287:L1295)</f>
        <v>15000</v>
      </c>
      <c r="M1296" s="29"/>
      <c r="N1296" s="29"/>
      <c r="O1296" s="29">
        <f>SUM(O1287:O1295)</f>
        <v>59428</v>
      </c>
      <c r="P1296" s="29"/>
      <c r="Q1296" s="29"/>
      <c r="R1296" s="29">
        <f>SUM(R1287:R1295)</f>
        <v>73629.37</v>
      </c>
      <c r="S1296" s="30"/>
      <c r="T1296" s="73"/>
      <c r="U1296" s="71">
        <f t="shared" ref="U1296" si="418">R1296/G1296</f>
        <v>0.70507306469529241</v>
      </c>
      <c r="V1296" s="128">
        <f t="shared" ref="V1296" si="419">+I1296+O1170</f>
        <v>59428</v>
      </c>
      <c r="W1296" s="128">
        <f t="shared" ref="W1296" si="420">+O1296-V1296</f>
        <v>0</v>
      </c>
      <c r="X1296" s="128">
        <f t="shared" ref="X1296" si="421">+L1296+R1170</f>
        <v>73629.37</v>
      </c>
      <c r="Y1296" s="128">
        <f t="shared" ref="Y1296" si="422">+R1296-X1296</f>
        <v>0</v>
      </c>
      <c r="Z1296" s="195">
        <f t="shared" ref="Z1296" si="423">+X1296/G1296</f>
        <v>0.70507306469529241</v>
      </c>
      <c r="AA1296" s="194">
        <f t="shared" ref="AA1296" si="424">+U1296-Z1296</f>
        <v>0</v>
      </c>
    </row>
    <row r="1297" spans="1:22" ht="15.75" thickBot="1">
      <c r="C1297" s="32"/>
      <c r="I1297" s="104">
        <f>SUM(I1284,I1296)</f>
        <v>42050</v>
      </c>
      <c r="J1297" s="130"/>
      <c r="K1297" s="130"/>
      <c r="L1297" s="104">
        <f>SUM(L1284,L1296)</f>
        <v>157319.32999999999</v>
      </c>
      <c r="M1297" s="130"/>
      <c r="N1297" s="131"/>
      <c r="O1297" s="104">
        <f>SUM(O1284,O1296)</f>
        <v>684336</v>
      </c>
      <c r="P1297" s="130"/>
      <c r="Q1297" s="130"/>
      <c r="R1297" s="104">
        <f>SUM(R1284,R1296)</f>
        <v>694878.67</v>
      </c>
      <c r="U1297" s="33"/>
    </row>
    <row r="1298" spans="1:22" ht="15.75" thickBot="1">
      <c r="B1298" s="262" t="s">
        <v>31</v>
      </c>
      <c r="C1298" s="263"/>
      <c r="D1298" s="263"/>
      <c r="E1298" s="263"/>
      <c r="F1298" s="263"/>
      <c r="G1298" s="263"/>
      <c r="H1298" s="263"/>
      <c r="I1298" s="263"/>
      <c r="J1298" s="263"/>
      <c r="K1298" s="263"/>
      <c r="L1298" s="263"/>
      <c r="M1298" s="263"/>
      <c r="N1298" s="263"/>
      <c r="O1298" s="263"/>
      <c r="P1298" s="263"/>
      <c r="Q1298" s="263"/>
      <c r="R1298" s="263"/>
      <c r="S1298" s="263"/>
      <c r="T1298" s="263"/>
      <c r="U1298" s="263"/>
      <c r="V1298" s="34"/>
    </row>
    <row r="1299" spans="1:22" ht="15" customHeight="1" thickBot="1">
      <c r="B1299" s="264"/>
      <c r="C1299" s="265"/>
      <c r="D1299" s="267" t="s">
        <v>15</v>
      </c>
      <c r="E1299" s="268"/>
      <c r="F1299" s="268"/>
      <c r="G1299" s="268"/>
      <c r="H1299" s="268"/>
      <c r="I1299" s="269"/>
      <c r="J1299" s="267" t="s">
        <v>32</v>
      </c>
      <c r="K1299" s="268"/>
      <c r="L1299" s="268"/>
      <c r="M1299" s="268"/>
      <c r="N1299" s="268"/>
      <c r="O1299" s="269"/>
      <c r="P1299" s="267" t="s">
        <v>17</v>
      </c>
      <c r="Q1299" s="268"/>
      <c r="R1299" s="268"/>
      <c r="S1299" s="268"/>
      <c r="T1299" s="268"/>
      <c r="U1299" s="35"/>
    </row>
    <row r="1300" spans="1:22" ht="15.75" customHeight="1" thickBot="1">
      <c r="B1300" s="219"/>
      <c r="C1300" s="266"/>
      <c r="D1300" s="270" t="s">
        <v>26</v>
      </c>
      <c r="E1300" s="271"/>
      <c r="F1300" s="272" t="s">
        <v>27</v>
      </c>
      <c r="G1300" s="273"/>
      <c r="H1300" s="268" t="s">
        <v>28</v>
      </c>
      <c r="I1300" s="269"/>
      <c r="J1300" s="272" t="s">
        <v>26</v>
      </c>
      <c r="K1300" s="273"/>
      <c r="L1300" s="272" t="s">
        <v>27</v>
      </c>
      <c r="M1300" s="273"/>
      <c r="N1300" s="268" t="s">
        <v>28</v>
      </c>
      <c r="O1300" s="269"/>
      <c r="P1300" s="272" t="s">
        <v>26</v>
      </c>
      <c r="Q1300" s="273"/>
      <c r="R1300" s="272" t="s">
        <v>27</v>
      </c>
      <c r="S1300" s="273"/>
      <c r="T1300" s="268" t="s">
        <v>28</v>
      </c>
      <c r="U1300" s="269"/>
    </row>
    <row r="1301" spans="1:22" ht="30" customHeight="1">
      <c r="A1301" s="23"/>
      <c r="B1301" s="250" t="s">
        <v>33</v>
      </c>
      <c r="C1301" s="251"/>
      <c r="D1301" s="252">
        <v>675408</v>
      </c>
      <c r="E1301" s="253"/>
      <c r="F1301" s="252">
        <v>0</v>
      </c>
      <c r="G1301" s="253"/>
      <c r="H1301" s="252">
        <v>0</v>
      </c>
      <c r="I1301" s="253"/>
      <c r="J1301" s="254">
        <v>142319.32999999999</v>
      </c>
      <c r="K1301" s="255"/>
      <c r="L1301" s="240">
        <v>0</v>
      </c>
      <c r="M1301" s="253"/>
      <c r="N1301" s="240">
        <v>0</v>
      </c>
      <c r="O1301" s="256"/>
      <c r="P1301" s="254">
        <f>23416.71+27887.03+23419.61+20279.25+15856.72+25980.18+94293.4+96348.75+80648.45+70799.87+142319.33</f>
        <v>621249.30000000005</v>
      </c>
      <c r="Q1301" s="255"/>
      <c r="R1301" s="240">
        <v>0</v>
      </c>
      <c r="S1301" s="253"/>
      <c r="T1301" s="240">
        <v>0</v>
      </c>
      <c r="U1301" s="241"/>
    </row>
    <row r="1302" spans="1:22" ht="30" customHeight="1" thickBot="1">
      <c r="A1302" s="4"/>
      <c r="B1302" s="242" t="s">
        <v>34</v>
      </c>
      <c r="C1302" s="243"/>
      <c r="D1302" s="244">
        <v>104428</v>
      </c>
      <c r="E1302" s="245"/>
      <c r="F1302" s="244">
        <v>0</v>
      </c>
      <c r="G1302" s="245"/>
      <c r="H1302" s="244">
        <v>0</v>
      </c>
      <c r="I1302" s="245"/>
      <c r="J1302" s="244">
        <v>15000</v>
      </c>
      <c r="K1302" s="245"/>
      <c r="L1302" s="246">
        <v>0</v>
      </c>
      <c r="M1302" s="245"/>
      <c r="N1302" s="246">
        <v>0</v>
      </c>
      <c r="O1302" s="247"/>
      <c r="P1302" s="248">
        <f>0+0+0+12328+6710.67+9289.33+1952.17+6093.87+18931.09+3324.24+15000</f>
        <v>73629.37</v>
      </c>
      <c r="Q1302" s="249"/>
      <c r="R1302" s="246">
        <v>0</v>
      </c>
      <c r="S1302" s="245"/>
      <c r="T1302" s="246">
        <v>0</v>
      </c>
      <c r="U1302" s="247"/>
    </row>
    <row r="1303" spans="1:22" ht="15.75" thickBot="1">
      <c r="A1303" s="23"/>
      <c r="B1303" s="233" t="s">
        <v>21</v>
      </c>
      <c r="C1303" s="234"/>
      <c r="D1303" s="235">
        <f>SUM(D1301:E1302)</f>
        <v>779836</v>
      </c>
      <c r="E1303" s="236"/>
      <c r="F1303" s="235">
        <f>SUM(F1301:G1302)</f>
        <v>0</v>
      </c>
      <c r="G1303" s="236"/>
      <c r="H1303" s="235">
        <f>SUM(H1301:I1302)</f>
        <v>0</v>
      </c>
      <c r="I1303" s="236"/>
      <c r="J1303" s="237">
        <f>SUM(J1301:K1302)</f>
        <v>157319.32999999999</v>
      </c>
      <c r="K1303" s="238"/>
      <c r="L1303" s="215">
        <f>SUM(L1301:M1302)</f>
        <v>0</v>
      </c>
      <c r="M1303" s="238"/>
      <c r="N1303" s="236">
        <f>SUM(N1301:O1302)</f>
        <v>0</v>
      </c>
      <c r="O1303" s="236"/>
      <c r="P1303" s="237">
        <f>SUM(P1301:Q1302)</f>
        <v>694878.67</v>
      </c>
      <c r="Q1303" s="239"/>
      <c r="R1303" s="215">
        <f>SUM(R1301:S1302)</f>
        <v>0</v>
      </c>
      <c r="S1303" s="238"/>
      <c r="T1303" s="215">
        <f>SUM(T1301:U1302)</f>
        <v>0</v>
      </c>
      <c r="U1303" s="216"/>
    </row>
    <row r="1304" spans="1:22">
      <c r="A1304" s="23"/>
      <c r="B1304" s="172"/>
      <c r="C1304" s="172"/>
      <c r="D1304" s="172"/>
      <c r="E1304" s="172"/>
      <c r="F1304" s="169"/>
      <c r="G1304" s="169"/>
      <c r="H1304" s="170"/>
      <c r="I1304" s="170"/>
      <c r="J1304" s="169"/>
      <c r="K1304" s="169"/>
      <c r="L1304" s="115"/>
      <c r="M1304" s="170"/>
      <c r="N1304" s="169"/>
      <c r="O1304" s="170"/>
      <c r="P1304" s="170"/>
      <c r="Q1304" s="169"/>
      <c r="R1304" s="23"/>
      <c r="S1304" s="23"/>
      <c r="T1304" s="23"/>
      <c r="U1304" s="23"/>
    </row>
    <row r="1305" spans="1:22" ht="15.75" thickBot="1">
      <c r="A1305" s="23"/>
      <c r="B1305" s="172"/>
      <c r="C1305" s="172"/>
      <c r="D1305" s="172"/>
      <c r="E1305" s="172"/>
      <c r="F1305" s="169"/>
      <c r="G1305" s="169"/>
      <c r="H1305" s="169"/>
      <c r="I1305" s="169"/>
      <c r="J1305" s="169"/>
      <c r="K1305" s="169"/>
      <c r="L1305" s="169"/>
      <c r="M1305" s="169"/>
      <c r="N1305" s="169"/>
      <c r="O1305" s="169"/>
      <c r="P1305" s="169"/>
      <c r="Q1305" s="169"/>
      <c r="R1305" s="23"/>
      <c r="S1305" s="23"/>
      <c r="T1305" s="23"/>
      <c r="U1305" s="23"/>
    </row>
    <row r="1306" spans="1:22" ht="15.75" thickBot="1">
      <c r="B1306" s="217" t="s">
        <v>35</v>
      </c>
      <c r="C1306" s="218"/>
      <c r="D1306" s="218"/>
      <c r="E1306" s="219"/>
      <c r="F1306" s="205"/>
      <c r="G1306" s="205"/>
      <c r="H1306" s="205"/>
      <c r="I1306" s="205"/>
      <c r="J1306" s="205"/>
      <c r="K1306" s="205"/>
      <c r="L1306" s="205"/>
      <c r="M1306" s="205"/>
      <c r="N1306" s="205"/>
      <c r="O1306" s="205"/>
      <c r="P1306" s="205"/>
      <c r="Q1306" s="205"/>
      <c r="R1306" s="205"/>
      <c r="S1306" s="205"/>
      <c r="T1306" s="205"/>
      <c r="U1306" s="205"/>
    </row>
    <row r="1307" spans="1:22">
      <c r="B1307" s="224" t="s">
        <v>150</v>
      </c>
      <c r="C1307" s="225"/>
      <c r="D1307" s="225"/>
      <c r="E1307" s="225"/>
      <c r="F1307" s="225"/>
      <c r="G1307" s="225"/>
      <c r="H1307" s="225"/>
      <c r="I1307" s="225"/>
      <c r="J1307" s="225"/>
      <c r="K1307" s="225"/>
      <c r="L1307" s="225"/>
      <c r="M1307" s="225"/>
      <c r="N1307" s="225"/>
      <c r="O1307" s="225"/>
      <c r="P1307" s="225"/>
      <c r="Q1307" s="225"/>
      <c r="R1307" s="225"/>
      <c r="S1307" s="225"/>
      <c r="T1307" s="225"/>
      <c r="U1307" s="226"/>
    </row>
    <row r="1308" spans="1:22">
      <c r="B1308" s="227"/>
      <c r="C1308" s="228"/>
      <c r="D1308" s="228"/>
      <c r="E1308" s="228"/>
      <c r="F1308" s="228"/>
      <c r="G1308" s="228"/>
      <c r="H1308" s="228"/>
      <c r="I1308" s="228"/>
      <c r="J1308" s="228"/>
      <c r="K1308" s="228"/>
      <c r="L1308" s="228"/>
      <c r="M1308" s="228"/>
      <c r="N1308" s="228"/>
      <c r="O1308" s="228"/>
      <c r="P1308" s="228"/>
      <c r="Q1308" s="228"/>
      <c r="R1308" s="228"/>
      <c r="S1308" s="228"/>
      <c r="T1308" s="228"/>
      <c r="U1308" s="229"/>
    </row>
    <row r="1309" spans="1:22">
      <c r="B1309" s="227"/>
      <c r="C1309" s="228"/>
      <c r="D1309" s="228"/>
      <c r="E1309" s="228"/>
      <c r="F1309" s="228"/>
      <c r="G1309" s="228"/>
      <c r="H1309" s="228"/>
      <c r="I1309" s="228"/>
      <c r="J1309" s="228"/>
      <c r="K1309" s="228"/>
      <c r="L1309" s="228"/>
      <c r="M1309" s="228"/>
      <c r="N1309" s="228"/>
      <c r="O1309" s="228"/>
      <c r="P1309" s="228"/>
      <c r="Q1309" s="228"/>
      <c r="R1309" s="228"/>
      <c r="S1309" s="228"/>
      <c r="T1309" s="228"/>
      <c r="U1309" s="229"/>
    </row>
    <row r="1310" spans="1:22">
      <c r="B1310" s="227"/>
      <c r="C1310" s="228"/>
      <c r="D1310" s="228"/>
      <c r="E1310" s="228"/>
      <c r="F1310" s="228"/>
      <c r="G1310" s="228"/>
      <c r="H1310" s="228"/>
      <c r="I1310" s="228"/>
      <c r="J1310" s="228"/>
      <c r="K1310" s="228"/>
      <c r="L1310" s="228"/>
      <c r="M1310" s="228"/>
      <c r="N1310" s="228"/>
      <c r="O1310" s="228"/>
      <c r="P1310" s="228"/>
      <c r="Q1310" s="228"/>
      <c r="R1310" s="228"/>
      <c r="S1310" s="228"/>
      <c r="T1310" s="228"/>
      <c r="U1310" s="229"/>
    </row>
    <row r="1311" spans="1:22">
      <c r="B1311" s="227"/>
      <c r="C1311" s="228"/>
      <c r="D1311" s="228"/>
      <c r="E1311" s="228"/>
      <c r="F1311" s="228"/>
      <c r="G1311" s="228"/>
      <c r="H1311" s="228"/>
      <c r="I1311" s="228"/>
      <c r="J1311" s="228"/>
      <c r="K1311" s="228"/>
      <c r="L1311" s="228"/>
      <c r="M1311" s="228"/>
      <c r="N1311" s="228"/>
      <c r="O1311" s="228"/>
      <c r="P1311" s="228"/>
      <c r="Q1311" s="228"/>
      <c r="R1311" s="228"/>
      <c r="S1311" s="228"/>
      <c r="T1311" s="228"/>
      <c r="U1311" s="229"/>
    </row>
    <row r="1312" spans="1:22">
      <c r="B1312" s="227"/>
      <c r="C1312" s="228"/>
      <c r="D1312" s="228"/>
      <c r="E1312" s="228"/>
      <c r="F1312" s="228"/>
      <c r="G1312" s="228"/>
      <c r="H1312" s="228"/>
      <c r="I1312" s="228"/>
      <c r="J1312" s="228"/>
      <c r="K1312" s="228"/>
      <c r="L1312" s="228"/>
      <c r="M1312" s="228"/>
      <c r="N1312" s="228"/>
      <c r="O1312" s="228"/>
      <c r="P1312" s="228"/>
      <c r="Q1312" s="228"/>
      <c r="R1312" s="228"/>
      <c r="S1312" s="228"/>
      <c r="T1312" s="228"/>
      <c r="U1312" s="229"/>
    </row>
    <row r="1313" spans="2:21" ht="15.75" thickBot="1">
      <c r="B1313" s="230"/>
      <c r="C1313" s="231"/>
      <c r="D1313" s="231"/>
      <c r="E1313" s="231"/>
      <c r="F1313" s="231"/>
      <c r="G1313" s="231"/>
      <c r="H1313" s="231"/>
      <c r="I1313" s="231"/>
      <c r="J1313" s="231"/>
      <c r="K1313" s="231"/>
      <c r="L1313" s="231"/>
      <c r="M1313" s="231"/>
      <c r="N1313" s="231"/>
      <c r="O1313" s="231"/>
      <c r="P1313" s="231"/>
      <c r="Q1313" s="231"/>
      <c r="R1313" s="231"/>
      <c r="S1313" s="231"/>
      <c r="T1313" s="231"/>
      <c r="U1313" s="232"/>
    </row>
    <row r="1314" spans="2:21">
      <c r="B1314" s="23"/>
    </row>
    <row r="1315" spans="2:21">
      <c r="H1315" s="40"/>
      <c r="I1315" s="40"/>
      <c r="O1315" s="40"/>
      <c r="Q1315" s="40"/>
    </row>
    <row r="1316" spans="2:21">
      <c r="B1316" s="220" t="s">
        <v>38</v>
      </c>
      <c r="C1316" s="220"/>
      <c r="D1316" s="220"/>
      <c r="E1316" s="220"/>
      <c r="F1316" s="220"/>
      <c r="G1316" s="220"/>
      <c r="I1316" s="41"/>
      <c r="J1316" s="213" t="s">
        <v>36</v>
      </c>
      <c r="K1316" s="213"/>
      <c r="L1316" s="213"/>
      <c r="M1316" s="213"/>
      <c r="N1316" s="213"/>
      <c r="O1316" s="213"/>
      <c r="R1316" s="213" t="s">
        <v>37</v>
      </c>
      <c r="S1316" s="213"/>
      <c r="T1316" s="213"/>
      <c r="U1316" s="213"/>
    </row>
    <row r="1317" spans="2:21">
      <c r="B1317" s="220"/>
      <c r="C1317" s="220"/>
      <c r="D1317" s="220"/>
      <c r="E1317" s="220"/>
      <c r="F1317" s="220"/>
      <c r="G1317" s="220"/>
      <c r="H1317" s="42"/>
      <c r="I1317" s="42"/>
      <c r="J1317" s="221"/>
      <c r="K1317" s="221"/>
      <c r="L1317" s="221"/>
      <c r="M1317" s="221"/>
      <c r="N1317" s="221"/>
      <c r="O1317" s="221"/>
      <c r="P1317" s="42"/>
      <c r="Q1317" s="42"/>
      <c r="R1317" s="210" t="s">
        <v>0</v>
      </c>
      <c r="S1317" s="210"/>
      <c r="T1317" s="210"/>
      <c r="U1317" s="210"/>
    </row>
    <row r="1318" spans="2:21">
      <c r="B1318" s="220"/>
      <c r="C1318" s="220"/>
      <c r="D1318" s="220"/>
      <c r="E1318" s="220"/>
      <c r="F1318" s="220"/>
      <c r="G1318" s="220"/>
      <c r="H1318" s="168"/>
      <c r="I1318" s="168"/>
      <c r="J1318" s="221"/>
      <c r="K1318" s="221"/>
      <c r="L1318" s="221"/>
      <c r="M1318" s="221"/>
      <c r="N1318" s="221"/>
      <c r="O1318" s="221"/>
      <c r="P1318" s="168"/>
      <c r="Q1318" s="168"/>
      <c r="R1318" s="210"/>
      <c r="S1318" s="210"/>
      <c r="T1318" s="210"/>
      <c r="U1318" s="210"/>
    </row>
    <row r="1319" spans="2:21">
      <c r="B1319" s="220"/>
      <c r="C1319" s="220"/>
      <c r="D1319" s="220"/>
      <c r="E1319" s="220"/>
      <c r="F1319" s="220"/>
      <c r="G1319" s="220"/>
      <c r="H1319" s="168"/>
      <c r="I1319" s="168"/>
      <c r="J1319" s="221"/>
      <c r="K1319" s="221"/>
      <c r="L1319" s="221"/>
      <c r="M1319" s="221"/>
      <c r="N1319" s="221"/>
      <c r="O1319" s="221"/>
      <c r="P1319" s="168"/>
      <c r="Q1319" s="168"/>
      <c r="R1319" s="210"/>
      <c r="S1319" s="210"/>
      <c r="T1319" s="210"/>
      <c r="U1319" s="210"/>
    </row>
    <row r="1320" spans="2:21">
      <c r="B1320" s="220"/>
      <c r="C1320" s="220"/>
      <c r="D1320" s="220"/>
      <c r="E1320" s="220"/>
      <c r="F1320" s="220"/>
      <c r="G1320" s="220"/>
      <c r="H1320" s="168"/>
      <c r="I1320" s="168"/>
      <c r="J1320" s="221"/>
      <c r="K1320" s="221"/>
      <c r="L1320" s="221"/>
      <c r="M1320" s="221"/>
      <c r="N1320" s="221"/>
      <c r="O1320" s="221"/>
      <c r="P1320" s="168"/>
      <c r="Q1320" s="168"/>
      <c r="R1320" s="210"/>
      <c r="S1320" s="210"/>
      <c r="T1320" s="210"/>
      <c r="U1320" s="210"/>
    </row>
    <row r="1321" spans="2:21" ht="15.75" thickBot="1">
      <c r="B1321" s="223"/>
      <c r="C1321" s="223"/>
      <c r="D1321" s="223"/>
      <c r="E1321" s="223"/>
      <c r="F1321" s="223"/>
      <c r="G1321" s="223"/>
      <c r="J1321" s="222"/>
      <c r="K1321" s="222"/>
      <c r="L1321" s="222"/>
      <c r="M1321" s="222"/>
      <c r="N1321" s="222"/>
      <c r="O1321" s="222"/>
      <c r="R1321" s="205"/>
      <c r="S1321" s="205"/>
      <c r="T1321" s="205"/>
      <c r="U1321" s="205"/>
    </row>
    <row r="1322" spans="2:21">
      <c r="B1322" s="210" t="s">
        <v>101</v>
      </c>
      <c r="C1322" s="210"/>
      <c r="D1322" s="210"/>
      <c r="E1322" s="210"/>
      <c r="F1322" s="210"/>
      <c r="G1322" s="210"/>
      <c r="J1322" s="204" t="s">
        <v>102</v>
      </c>
      <c r="K1322" s="204"/>
      <c r="L1322" s="204"/>
      <c r="M1322" s="204"/>
      <c r="N1322" s="204"/>
      <c r="O1322" s="204"/>
      <c r="R1322" s="211" t="s">
        <v>137</v>
      </c>
      <c r="S1322" s="211"/>
      <c r="T1322" s="211"/>
      <c r="U1322" s="211"/>
    </row>
    <row r="1323" spans="2:21">
      <c r="B1323" s="204" t="s">
        <v>103</v>
      </c>
      <c r="C1323" s="204"/>
      <c r="D1323" s="204"/>
      <c r="E1323" s="204"/>
      <c r="F1323" s="204"/>
      <c r="G1323" s="204"/>
      <c r="J1323" s="212" t="s">
        <v>104</v>
      </c>
      <c r="K1323" s="212"/>
      <c r="L1323" s="212"/>
      <c r="M1323" s="212"/>
      <c r="N1323" s="212"/>
      <c r="O1323" s="212"/>
      <c r="P1323" s="118"/>
      <c r="Q1323" s="118"/>
      <c r="R1323" s="212" t="s">
        <v>105</v>
      </c>
      <c r="S1323" s="212"/>
      <c r="T1323" s="212"/>
      <c r="U1323" s="212"/>
    </row>
    <row r="1325" spans="2:21">
      <c r="J1325" s="213" t="s">
        <v>50</v>
      </c>
      <c r="K1325" s="213"/>
      <c r="L1325" s="213"/>
      <c r="M1325" s="213"/>
      <c r="N1325" s="213"/>
      <c r="O1325" s="213"/>
    </row>
    <row r="1326" spans="2:21">
      <c r="C1326" s="214" t="s">
        <v>157</v>
      </c>
      <c r="D1326" s="214"/>
      <c r="E1326" s="214"/>
      <c r="F1326" s="214"/>
      <c r="J1326" s="206" t="s">
        <v>48</v>
      </c>
      <c r="K1326" s="206"/>
      <c r="L1326" s="206"/>
      <c r="M1326" s="206"/>
      <c r="N1326" s="206"/>
      <c r="O1326" s="206"/>
      <c r="R1326" s="206" t="s">
        <v>51</v>
      </c>
      <c r="S1326" s="206"/>
      <c r="T1326" s="206"/>
      <c r="U1326" s="206"/>
    </row>
    <row r="1327" spans="2:21">
      <c r="B1327" s="204"/>
      <c r="C1327" s="204"/>
      <c r="D1327" s="204"/>
      <c r="E1327" s="204"/>
      <c r="F1327" s="204"/>
      <c r="G1327" s="204"/>
      <c r="J1327" s="206"/>
      <c r="K1327" s="206"/>
      <c r="L1327" s="206"/>
      <c r="M1327" s="206"/>
      <c r="N1327" s="206"/>
      <c r="O1327" s="206"/>
      <c r="R1327" s="204"/>
      <c r="S1327" s="204"/>
      <c r="T1327" s="204"/>
      <c r="U1327" s="204"/>
    </row>
    <row r="1328" spans="2:21">
      <c r="B1328" s="204"/>
      <c r="C1328" s="204"/>
      <c r="D1328" s="204"/>
      <c r="E1328" s="204"/>
      <c r="F1328" s="204"/>
      <c r="G1328" s="204"/>
      <c r="J1328" s="206"/>
      <c r="K1328" s="206"/>
      <c r="L1328" s="206"/>
      <c r="M1328" s="206"/>
      <c r="N1328" s="206"/>
      <c r="O1328" s="206"/>
      <c r="R1328" s="204"/>
      <c r="S1328" s="204"/>
      <c r="T1328" s="204"/>
      <c r="U1328" s="204"/>
    </row>
    <row r="1329" spans="1:21">
      <c r="B1329" s="204"/>
      <c r="C1329" s="204"/>
      <c r="D1329" s="204"/>
      <c r="E1329" s="204"/>
      <c r="F1329" s="204"/>
      <c r="G1329" s="204"/>
      <c r="J1329" s="206"/>
      <c r="K1329" s="206"/>
      <c r="L1329" s="206"/>
      <c r="M1329" s="206"/>
      <c r="N1329" s="206"/>
      <c r="O1329" s="206"/>
      <c r="R1329" s="204"/>
      <c r="S1329" s="204"/>
      <c r="T1329" s="204"/>
      <c r="U1329" s="204"/>
    </row>
    <row r="1330" spans="1:21" ht="15.75" thickBot="1">
      <c r="B1330" s="205"/>
      <c r="C1330" s="205"/>
      <c r="D1330" s="205"/>
      <c r="E1330" s="205"/>
      <c r="F1330" s="205"/>
      <c r="G1330" s="205"/>
      <c r="H1330" s="51"/>
      <c r="I1330" s="51"/>
      <c r="J1330" s="207"/>
      <c r="K1330" s="207"/>
      <c r="L1330" s="207"/>
      <c r="M1330" s="207"/>
      <c r="N1330" s="207"/>
      <c r="O1330" s="207"/>
      <c r="P1330" s="51"/>
      <c r="Q1330" s="51"/>
      <c r="R1330" s="205"/>
      <c r="S1330" s="205"/>
      <c r="T1330" s="205"/>
      <c r="U1330" s="205"/>
    </row>
    <row r="1331" spans="1:21">
      <c r="B1331" s="208" t="s">
        <v>106</v>
      </c>
      <c r="C1331" s="208"/>
      <c r="D1331" s="208"/>
      <c r="E1331" s="208"/>
      <c r="F1331" s="208"/>
      <c r="G1331" s="208"/>
      <c r="H1331" s="119"/>
      <c r="I1331" s="119"/>
      <c r="J1331" s="208" t="s">
        <v>107</v>
      </c>
      <c r="K1331" s="208"/>
      <c r="L1331" s="208"/>
      <c r="M1331" s="208"/>
      <c r="N1331" s="208"/>
      <c r="O1331" s="208"/>
      <c r="P1331" s="51"/>
      <c r="Q1331" s="51"/>
      <c r="R1331" s="208" t="s">
        <v>108</v>
      </c>
      <c r="S1331" s="208"/>
      <c r="T1331" s="208"/>
      <c r="U1331" s="208"/>
    </row>
    <row r="1332" spans="1:21" ht="32.25" customHeight="1">
      <c r="B1332" s="209" t="s">
        <v>109</v>
      </c>
      <c r="C1332" s="209"/>
      <c r="D1332" s="209"/>
      <c r="E1332" s="209"/>
      <c r="F1332" s="209"/>
      <c r="G1332" s="209"/>
      <c r="J1332" s="209" t="s">
        <v>110</v>
      </c>
      <c r="K1332" s="209"/>
      <c r="L1332" s="209"/>
      <c r="M1332" s="209"/>
      <c r="N1332" s="209"/>
      <c r="O1332" s="209"/>
      <c r="R1332" s="209" t="s">
        <v>111</v>
      </c>
      <c r="S1332" s="209"/>
      <c r="T1332" s="209"/>
      <c r="U1332" s="209"/>
    </row>
    <row r="1334" spans="1:21" ht="23.25">
      <c r="B1334" s="482" t="s">
        <v>145</v>
      </c>
      <c r="C1334" s="482"/>
      <c r="D1334" s="482"/>
      <c r="E1334" s="482"/>
      <c r="F1334" s="482"/>
      <c r="G1334" s="482"/>
      <c r="H1334" s="482"/>
      <c r="I1334" s="482"/>
      <c r="J1334" s="482"/>
      <c r="K1334" s="482"/>
      <c r="L1334" s="482"/>
      <c r="M1334" s="482"/>
      <c r="N1334" s="482"/>
      <c r="O1334" s="482"/>
      <c r="P1334" s="482"/>
      <c r="Q1334" s="482"/>
      <c r="R1334" s="482"/>
      <c r="S1334" s="482"/>
      <c r="T1334" s="482"/>
      <c r="U1334" s="482"/>
    </row>
    <row r="1337" spans="1:21" ht="15" customHeight="1"/>
    <row r="1338" spans="1:21" ht="15" customHeight="1">
      <c r="F1338" s="1"/>
      <c r="G1338" s="1"/>
      <c r="H1338" s="1"/>
      <c r="I1338" s="1"/>
      <c r="J1338" s="1"/>
      <c r="K1338" s="1"/>
      <c r="L1338" s="1"/>
      <c r="M1338" s="1"/>
      <c r="N1338" s="1"/>
      <c r="O1338" s="1"/>
    </row>
    <row r="1339" spans="1:21" ht="15" customHeight="1">
      <c r="B1339" s="427" t="s">
        <v>125</v>
      </c>
      <c r="C1339" s="427"/>
      <c r="D1339" s="427"/>
      <c r="E1339" s="427"/>
      <c r="F1339" s="427"/>
      <c r="G1339" s="427"/>
      <c r="H1339" s="427"/>
      <c r="I1339" s="427"/>
      <c r="J1339" s="427"/>
      <c r="K1339" s="427"/>
      <c r="L1339" s="427"/>
      <c r="M1339" s="427"/>
      <c r="N1339" s="427"/>
      <c r="O1339" s="427"/>
      <c r="P1339" s="427"/>
      <c r="Q1339" s="427"/>
      <c r="R1339" s="427"/>
      <c r="S1339" s="427"/>
      <c r="T1339" s="427"/>
      <c r="U1339" s="427"/>
    </row>
    <row r="1340" spans="1:21" ht="15" customHeight="1">
      <c r="F1340" t="s">
        <v>0</v>
      </c>
    </row>
    <row r="1341" spans="1:21" ht="15" customHeight="1">
      <c r="B1341" s="2"/>
      <c r="C1341" s="2"/>
      <c r="D1341" s="2"/>
      <c r="E1341" s="2"/>
      <c r="F1341" s="2"/>
      <c r="G1341" s="2"/>
      <c r="H1341" s="2"/>
      <c r="I1341" s="2"/>
      <c r="J1341" s="2"/>
      <c r="K1341" s="2"/>
      <c r="L1341" s="2"/>
      <c r="M1341" s="2"/>
      <c r="N1341" s="2"/>
      <c r="O1341" s="2"/>
      <c r="P1341" s="2"/>
      <c r="Q1341" s="2"/>
      <c r="R1341" s="2"/>
      <c r="S1341" s="2"/>
      <c r="T1341" s="2"/>
      <c r="U1341" s="2"/>
    </row>
    <row r="1342" spans="1:21" ht="15" customHeight="1" thickBot="1">
      <c r="B1342" s="3"/>
      <c r="C1342" s="3"/>
      <c r="D1342" s="3"/>
      <c r="E1342" s="3"/>
      <c r="F1342" s="3"/>
      <c r="G1342" s="3"/>
      <c r="H1342" s="3"/>
      <c r="I1342" s="3"/>
      <c r="J1342" s="3"/>
      <c r="K1342" s="3"/>
      <c r="L1342" s="3"/>
      <c r="M1342" s="3"/>
      <c r="N1342" s="3"/>
      <c r="O1342" s="3"/>
      <c r="P1342" s="3"/>
      <c r="Q1342" s="3"/>
      <c r="R1342" s="3"/>
      <c r="S1342" s="3"/>
      <c r="T1342" s="3"/>
      <c r="U1342" s="3"/>
    </row>
    <row r="1343" spans="1:21" ht="15" customHeight="1">
      <c r="B1343" s="385" t="s">
        <v>1</v>
      </c>
      <c r="C1343" s="386"/>
      <c r="D1343" s="386"/>
      <c r="E1343" s="386"/>
      <c r="F1343" s="387"/>
      <c r="G1343" s="428" t="s">
        <v>164</v>
      </c>
      <c r="H1343" s="429"/>
      <c r="I1343" s="429"/>
      <c r="J1343" s="429"/>
      <c r="K1343" s="429"/>
      <c r="L1343" s="429"/>
      <c r="M1343" s="429"/>
      <c r="N1343" s="429"/>
      <c r="O1343" s="429"/>
      <c r="P1343" s="429"/>
      <c r="Q1343" s="429"/>
      <c r="R1343" s="429"/>
      <c r="S1343" s="429"/>
      <c r="T1343" s="429"/>
      <c r="U1343" s="430"/>
    </row>
    <row r="1344" spans="1:21" ht="15" customHeight="1">
      <c r="A1344" s="4"/>
      <c r="B1344" s="431" t="s">
        <v>2</v>
      </c>
      <c r="C1344" s="432"/>
      <c r="D1344" s="432"/>
      <c r="E1344" s="432"/>
      <c r="F1344" s="433"/>
      <c r="G1344" s="434" t="s">
        <v>163</v>
      </c>
      <c r="H1344" s="435"/>
      <c r="I1344" s="435"/>
      <c r="J1344" s="435"/>
      <c r="K1344" s="435"/>
      <c r="L1344" s="435"/>
      <c r="M1344" s="435"/>
      <c r="N1344" s="435"/>
      <c r="O1344" s="435"/>
      <c r="P1344" s="435"/>
      <c r="Q1344" s="435"/>
      <c r="R1344" s="435"/>
      <c r="S1344" s="435"/>
      <c r="T1344" s="435"/>
      <c r="U1344" s="436"/>
    </row>
    <row r="1345" spans="1:27" ht="15" customHeight="1">
      <c r="A1345" s="4"/>
      <c r="B1345" s="385" t="s">
        <v>3</v>
      </c>
      <c r="C1345" s="386"/>
      <c r="D1345" s="386"/>
      <c r="E1345" s="386"/>
      <c r="F1345" s="387"/>
      <c r="G1345" s="437" t="s">
        <v>156</v>
      </c>
      <c r="H1345" s="438"/>
      <c r="I1345" s="438"/>
      <c r="J1345" s="438"/>
      <c r="K1345" s="438"/>
      <c r="L1345" s="438"/>
      <c r="M1345" s="438"/>
      <c r="N1345" s="438"/>
      <c r="O1345" s="438"/>
      <c r="P1345" s="438"/>
      <c r="Q1345" s="438"/>
      <c r="R1345" s="438"/>
      <c r="S1345" s="438"/>
      <c r="T1345" s="438"/>
      <c r="U1345" s="439"/>
    </row>
    <row r="1346" spans="1:27" ht="15" customHeight="1">
      <c r="A1346" s="4"/>
      <c r="B1346" s="385" t="s">
        <v>4</v>
      </c>
      <c r="C1346" s="386"/>
      <c r="D1346" s="386"/>
      <c r="E1346" s="386"/>
      <c r="F1346" s="387"/>
      <c r="G1346" s="440" t="s">
        <v>165</v>
      </c>
      <c r="H1346" s="441"/>
      <c r="I1346" s="441"/>
      <c r="J1346" s="441"/>
      <c r="K1346" s="441"/>
      <c r="L1346" s="441"/>
      <c r="M1346" s="441"/>
      <c r="N1346" s="441"/>
      <c r="O1346" s="441"/>
      <c r="P1346" s="441"/>
      <c r="Q1346" s="441"/>
      <c r="R1346" s="441"/>
      <c r="S1346" s="441"/>
      <c r="T1346" s="441"/>
      <c r="U1346" s="442"/>
    </row>
    <row r="1347" spans="1:27" ht="15" customHeight="1">
      <c r="A1347" s="4"/>
      <c r="B1347" s="385" t="s">
        <v>5</v>
      </c>
      <c r="C1347" s="386"/>
      <c r="D1347" s="386"/>
      <c r="E1347" s="386"/>
      <c r="F1347" s="387"/>
      <c r="G1347" s="410" t="s">
        <v>6</v>
      </c>
      <c r="H1347" s="411"/>
      <c r="I1347" s="412">
        <v>779836</v>
      </c>
      <c r="J1347" s="413"/>
      <c r="K1347" s="413"/>
      <c r="L1347" s="414"/>
      <c r="M1347" s="5" t="s">
        <v>7</v>
      </c>
      <c r="N1347" s="412">
        <v>0</v>
      </c>
      <c r="O1347" s="413"/>
      <c r="P1347" s="413"/>
      <c r="Q1347" s="414"/>
      <c r="R1347" s="415" t="s">
        <v>8</v>
      </c>
      <c r="S1347" s="416"/>
      <c r="T1347" s="412">
        <v>0</v>
      </c>
      <c r="U1347" s="417"/>
    </row>
    <row r="1348" spans="1:27">
      <c r="A1348" s="4"/>
      <c r="B1348" s="385" t="s">
        <v>9</v>
      </c>
      <c r="C1348" s="386"/>
      <c r="D1348" s="386"/>
      <c r="E1348" s="386"/>
      <c r="F1348" s="387"/>
      <c r="G1348" s="418" t="s">
        <v>6</v>
      </c>
      <c r="H1348" s="419"/>
      <c r="I1348" s="412">
        <v>779836</v>
      </c>
      <c r="J1348" s="413"/>
      <c r="K1348" s="413"/>
      <c r="L1348" s="414"/>
      <c r="M1348" s="5" t="s">
        <v>7</v>
      </c>
      <c r="N1348" s="420">
        <v>0</v>
      </c>
      <c r="O1348" s="421"/>
      <c r="P1348" s="421"/>
      <c r="Q1348" s="422"/>
      <c r="R1348" s="423"/>
      <c r="S1348" s="424"/>
      <c r="T1348" s="424"/>
      <c r="U1348" s="425"/>
    </row>
    <row r="1349" spans="1:27" ht="15.75" thickBot="1">
      <c r="A1349" s="4"/>
      <c r="B1349" s="385" t="s">
        <v>10</v>
      </c>
      <c r="C1349" s="386"/>
      <c r="D1349" s="386"/>
      <c r="E1349" s="386"/>
      <c r="F1349" s="387"/>
      <c r="G1349" s="460" t="s">
        <v>148</v>
      </c>
      <c r="H1349" s="461"/>
      <c r="I1349" s="461"/>
      <c r="J1349" s="461"/>
      <c r="K1349" s="461"/>
      <c r="L1349" s="461"/>
      <c r="M1349" s="461"/>
      <c r="N1349" s="461"/>
      <c r="O1349" s="461"/>
      <c r="P1349" s="461"/>
      <c r="Q1349" s="461"/>
      <c r="R1349" s="461"/>
      <c r="S1349" s="461"/>
      <c r="T1349" s="461"/>
      <c r="U1349" s="462"/>
    </row>
    <row r="1350" spans="1:27" ht="15.75" customHeight="1" thickBot="1">
      <c r="A1350" s="4"/>
      <c r="B1350" s="391" t="s">
        <v>11</v>
      </c>
      <c r="C1350" s="392"/>
      <c r="D1350" s="392"/>
      <c r="E1350" s="392"/>
      <c r="F1350" s="393"/>
      <c r="G1350" s="479" t="s">
        <v>118</v>
      </c>
      <c r="H1350" s="480"/>
      <c r="I1350" s="480"/>
      <c r="J1350" s="480"/>
      <c r="K1350" s="480"/>
      <c r="L1350" s="480"/>
      <c r="M1350" s="480"/>
      <c r="N1350" s="480"/>
      <c r="O1350" s="480"/>
      <c r="P1350" s="480"/>
      <c r="Q1350" s="480"/>
      <c r="R1350" s="480"/>
      <c r="S1350" s="480"/>
      <c r="T1350" s="480"/>
      <c r="U1350" s="481"/>
    </row>
    <row r="1351" spans="1:27" ht="15.75" thickBot="1">
      <c r="B1351" s="397"/>
      <c r="C1351" s="397"/>
      <c r="D1351" s="397"/>
      <c r="E1351" s="397"/>
      <c r="F1351" s="397"/>
      <c r="G1351" s="397"/>
      <c r="H1351" s="397"/>
      <c r="I1351" s="397"/>
      <c r="J1351" s="397"/>
      <c r="K1351" s="397"/>
      <c r="L1351" s="397"/>
      <c r="M1351" s="397"/>
      <c r="N1351" s="397"/>
      <c r="O1351" s="397"/>
      <c r="P1351" s="397"/>
      <c r="Q1351" s="397"/>
      <c r="R1351" s="397"/>
      <c r="S1351" s="397"/>
      <c r="T1351" s="397"/>
      <c r="U1351" s="397"/>
    </row>
    <row r="1352" spans="1:27" ht="16.5" thickBot="1">
      <c r="A1352" s="4"/>
      <c r="B1352" s="306" t="s">
        <v>12</v>
      </c>
      <c r="C1352" s="307"/>
      <c r="D1352" s="308"/>
      <c r="E1352" s="307" t="s">
        <v>13</v>
      </c>
      <c r="F1352" s="308"/>
      <c r="G1352" s="312" t="s">
        <v>14</v>
      </c>
      <c r="H1352" s="313"/>
      <c r="I1352" s="313"/>
      <c r="J1352" s="313"/>
      <c r="K1352" s="313"/>
      <c r="L1352" s="313"/>
      <c r="M1352" s="313"/>
      <c r="N1352" s="313"/>
      <c r="O1352" s="313"/>
      <c r="P1352" s="313"/>
      <c r="Q1352" s="313"/>
      <c r="R1352" s="313"/>
      <c r="S1352" s="313"/>
      <c r="T1352" s="313"/>
      <c r="U1352" s="314"/>
    </row>
    <row r="1353" spans="1:27" ht="15.75" thickBot="1">
      <c r="A1353" s="4"/>
      <c r="B1353" s="309"/>
      <c r="C1353" s="310"/>
      <c r="D1353" s="311"/>
      <c r="E1353" s="310"/>
      <c r="F1353" s="311"/>
      <c r="G1353" s="315" t="s">
        <v>15</v>
      </c>
      <c r="H1353" s="316"/>
      <c r="I1353" s="267" t="s">
        <v>16</v>
      </c>
      <c r="J1353" s="268"/>
      <c r="K1353" s="268"/>
      <c r="L1353" s="268"/>
      <c r="M1353" s="268"/>
      <c r="N1353" s="269"/>
      <c r="O1353" s="403" t="s">
        <v>17</v>
      </c>
      <c r="P1353" s="404"/>
      <c r="Q1353" s="404"/>
      <c r="R1353" s="404"/>
      <c r="S1353" s="404"/>
      <c r="T1353" s="404"/>
      <c r="U1353" s="405"/>
    </row>
    <row r="1354" spans="1:27">
      <c r="A1354" s="4"/>
      <c r="B1354" s="309"/>
      <c r="C1354" s="310"/>
      <c r="D1354" s="311"/>
      <c r="E1354" s="310"/>
      <c r="F1354" s="311"/>
      <c r="G1354" s="317"/>
      <c r="H1354" s="318"/>
      <c r="I1354" s="315" t="s">
        <v>18</v>
      </c>
      <c r="J1354" s="406"/>
      <c r="K1354" s="406"/>
      <c r="L1354" s="315" t="s">
        <v>19</v>
      </c>
      <c r="M1354" s="406"/>
      <c r="N1354" s="316"/>
      <c r="O1354" s="408" t="s">
        <v>18</v>
      </c>
      <c r="P1354" s="409"/>
      <c r="Q1354" s="409"/>
      <c r="R1354" s="315" t="s">
        <v>19</v>
      </c>
      <c r="S1354" s="406"/>
      <c r="T1354" s="406"/>
      <c r="U1354" s="326" t="s">
        <v>20</v>
      </c>
      <c r="V1354" s="200" t="s">
        <v>153</v>
      </c>
      <c r="W1354" s="201"/>
      <c r="X1354" s="200" t="s">
        <v>154</v>
      </c>
      <c r="Y1354" s="201"/>
      <c r="Z1354" s="200" t="s">
        <v>155</v>
      </c>
      <c r="AA1354" s="201"/>
    </row>
    <row r="1355" spans="1:27" ht="15.75" thickBot="1">
      <c r="A1355" s="4"/>
      <c r="B1355" s="398"/>
      <c r="C1355" s="399"/>
      <c r="D1355" s="400"/>
      <c r="E1355" s="399"/>
      <c r="F1355" s="400"/>
      <c r="G1355" s="401"/>
      <c r="H1355" s="402"/>
      <c r="I1355" s="401"/>
      <c r="J1355" s="407"/>
      <c r="K1355" s="407"/>
      <c r="L1355" s="401"/>
      <c r="M1355" s="407"/>
      <c r="N1355" s="402"/>
      <c r="O1355" s="401"/>
      <c r="P1355" s="407"/>
      <c r="Q1355" s="407"/>
      <c r="R1355" s="401"/>
      <c r="S1355" s="407"/>
      <c r="T1355" s="407"/>
      <c r="U1355" s="327"/>
      <c r="V1355" s="202"/>
      <c r="W1355" s="203"/>
      <c r="X1355" s="202"/>
      <c r="Y1355" s="203"/>
      <c r="Z1355" s="202"/>
      <c r="AA1355" s="203"/>
    </row>
    <row r="1356" spans="1:27">
      <c r="A1356" s="4"/>
      <c r="B1356" s="372" t="s">
        <v>59</v>
      </c>
      <c r="C1356" s="373"/>
      <c r="D1356" s="374"/>
      <c r="E1356" s="375"/>
      <c r="F1356" s="376"/>
      <c r="G1356" s="377"/>
      <c r="H1356" s="378"/>
      <c r="I1356" s="379"/>
      <c r="J1356" s="380"/>
      <c r="K1356" s="378"/>
      <c r="L1356" s="381"/>
      <c r="M1356" s="380"/>
      <c r="N1356" s="382"/>
      <c r="O1356" s="383"/>
      <c r="P1356" s="384"/>
      <c r="Q1356" s="384"/>
      <c r="R1356" s="384"/>
      <c r="S1356" s="384"/>
      <c r="T1356" s="384"/>
      <c r="U1356" s="53"/>
    </row>
    <row r="1357" spans="1:27">
      <c r="A1357" s="4"/>
      <c r="B1357" s="354" t="s">
        <v>76</v>
      </c>
      <c r="C1357" s="362"/>
      <c r="D1357" s="363"/>
      <c r="E1357" s="364"/>
      <c r="F1357" s="365"/>
      <c r="G1357" s="366"/>
      <c r="H1357" s="367"/>
      <c r="I1357" s="371"/>
      <c r="J1357" s="370"/>
      <c r="K1357" s="370"/>
      <c r="L1357" s="370"/>
      <c r="M1357" s="370"/>
      <c r="N1357" s="365"/>
      <c r="O1357" s="368"/>
      <c r="P1357" s="369"/>
      <c r="Q1357" s="369"/>
      <c r="R1357" s="369"/>
      <c r="S1357" s="369"/>
      <c r="T1357" s="369"/>
      <c r="U1357" s="185"/>
    </row>
    <row r="1358" spans="1:27">
      <c r="A1358" s="4"/>
      <c r="B1358" s="328" t="s">
        <v>56</v>
      </c>
      <c r="C1358" s="329"/>
      <c r="D1358" s="330"/>
      <c r="E1358" s="331" t="s">
        <v>58</v>
      </c>
      <c r="F1358" s="332"/>
      <c r="G1358" s="348">
        <v>170</v>
      </c>
      <c r="H1358" s="359"/>
      <c r="I1358" s="350">
        <v>0</v>
      </c>
      <c r="J1358" s="351"/>
      <c r="K1358" s="349"/>
      <c r="L1358" s="350">
        <v>0</v>
      </c>
      <c r="M1358" s="351"/>
      <c r="N1358" s="352"/>
      <c r="O1358" s="340">
        <v>170</v>
      </c>
      <c r="P1358" s="341"/>
      <c r="Q1358" s="361"/>
      <c r="R1358" s="360">
        <v>170</v>
      </c>
      <c r="S1358" s="341"/>
      <c r="T1358" s="361"/>
      <c r="U1358" s="6">
        <f t="shared" ref="U1358" si="425">R1358/G1358</f>
        <v>1</v>
      </c>
      <c r="V1358" s="193">
        <f>+I1358+O1233</f>
        <v>170</v>
      </c>
      <c r="W1358" s="193">
        <f>+O1358-V1358</f>
        <v>0</v>
      </c>
      <c r="X1358" s="193">
        <f>+L1358+R1233</f>
        <v>170</v>
      </c>
      <c r="Y1358" s="193">
        <f>+R1358-X1358</f>
        <v>0</v>
      </c>
      <c r="Z1358" s="195">
        <f>+X1358/G1358</f>
        <v>1</v>
      </c>
      <c r="AA1358" s="194">
        <f>+U1358-Z1358</f>
        <v>0</v>
      </c>
    </row>
    <row r="1359" spans="1:27">
      <c r="A1359" s="4"/>
      <c r="B1359" s="328" t="s">
        <v>57</v>
      </c>
      <c r="C1359" s="329"/>
      <c r="D1359" s="330"/>
      <c r="E1359" s="331" t="s">
        <v>58</v>
      </c>
      <c r="F1359" s="332"/>
      <c r="G1359" s="348">
        <v>4405</v>
      </c>
      <c r="H1359" s="349"/>
      <c r="I1359" s="350">
        <v>340</v>
      </c>
      <c r="J1359" s="351"/>
      <c r="K1359" s="349"/>
      <c r="L1359" s="350">
        <v>340</v>
      </c>
      <c r="M1359" s="351"/>
      <c r="N1359" s="352"/>
      <c r="O1359" s="340">
        <f>340+340+340+417+418+340+340+340+395+446+349+340</f>
        <v>4405</v>
      </c>
      <c r="P1359" s="341"/>
      <c r="Q1359" s="361"/>
      <c r="R1359" s="360">
        <f>339+339+338+420+340+268+340+340+395+446+349+340</f>
        <v>4254</v>
      </c>
      <c r="S1359" s="341"/>
      <c r="T1359" s="361"/>
      <c r="U1359" s="54">
        <f>R1359/G1359</f>
        <v>0.96572077185017025</v>
      </c>
      <c r="V1359" s="193">
        <f>+I1359+O1234</f>
        <v>4405</v>
      </c>
      <c r="W1359" s="193">
        <f>+O1359-V1359</f>
        <v>0</v>
      </c>
      <c r="X1359" s="193">
        <f>+L1359+R1234</f>
        <v>4254</v>
      </c>
      <c r="Y1359" s="193">
        <f>+R1359-X1359</f>
        <v>0</v>
      </c>
      <c r="Z1359" s="195">
        <f>+X1359/G1359</f>
        <v>0.96572077185017025</v>
      </c>
      <c r="AA1359" s="194">
        <f>+U1359-Z1359</f>
        <v>0</v>
      </c>
    </row>
    <row r="1360" spans="1:27" ht="15" customHeight="1">
      <c r="A1360" s="4"/>
      <c r="B1360" s="354" t="s">
        <v>77</v>
      </c>
      <c r="C1360" s="362"/>
      <c r="D1360" s="363"/>
      <c r="E1360" s="364"/>
      <c r="F1360" s="365"/>
      <c r="G1360" s="366"/>
      <c r="H1360" s="367"/>
      <c r="I1360" s="371"/>
      <c r="J1360" s="370"/>
      <c r="K1360" s="370"/>
      <c r="L1360" s="370"/>
      <c r="M1360" s="370"/>
      <c r="N1360" s="365"/>
      <c r="O1360" s="368"/>
      <c r="P1360" s="369"/>
      <c r="Q1360" s="369"/>
      <c r="R1360" s="369"/>
      <c r="S1360" s="369"/>
      <c r="T1360" s="369"/>
      <c r="U1360" s="185"/>
    </row>
    <row r="1361" spans="1:27">
      <c r="A1361" s="4"/>
      <c r="B1361" s="328" t="s">
        <v>56</v>
      </c>
      <c r="C1361" s="329"/>
      <c r="D1361" s="330"/>
      <c r="E1361" s="331" t="s">
        <v>58</v>
      </c>
      <c r="F1361" s="332"/>
      <c r="G1361" s="348">
        <v>35</v>
      </c>
      <c r="H1361" s="359"/>
      <c r="I1361" s="350">
        <v>0</v>
      </c>
      <c r="J1361" s="351"/>
      <c r="K1361" s="349"/>
      <c r="L1361" s="350">
        <v>0</v>
      </c>
      <c r="M1361" s="351"/>
      <c r="N1361" s="352"/>
      <c r="O1361" s="340">
        <v>35</v>
      </c>
      <c r="P1361" s="341"/>
      <c r="Q1361" s="361"/>
      <c r="R1361" s="360">
        <v>35</v>
      </c>
      <c r="S1361" s="341"/>
      <c r="T1361" s="361"/>
      <c r="U1361" s="6">
        <f t="shared" ref="U1361" si="426">R1361/G1361</f>
        <v>1</v>
      </c>
      <c r="V1361" s="193">
        <f t="shared" ref="V1361:V1362" si="427">+I1361+O1236</f>
        <v>35</v>
      </c>
      <c r="W1361" s="193">
        <f t="shared" ref="W1361:W1362" si="428">+O1361-V1361</f>
        <v>0</v>
      </c>
      <c r="X1361" s="193">
        <f t="shared" ref="X1361:X1362" si="429">+L1361+R1236</f>
        <v>35</v>
      </c>
      <c r="Y1361" s="193">
        <f t="shared" ref="Y1361:Y1362" si="430">+R1361-X1361</f>
        <v>0</v>
      </c>
      <c r="Z1361" s="195">
        <f t="shared" ref="Z1361:Z1362" si="431">+X1361/G1361</f>
        <v>1</v>
      </c>
      <c r="AA1361" s="194">
        <f t="shared" ref="AA1361:AA1362" si="432">+U1361-Z1361</f>
        <v>0</v>
      </c>
    </row>
    <row r="1362" spans="1:27">
      <c r="A1362" s="4"/>
      <c r="B1362" s="328" t="s">
        <v>57</v>
      </c>
      <c r="C1362" s="329"/>
      <c r="D1362" s="330"/>
      <c r="E1362" s="331" t="s">
        <v>58</v>
      </c>
      <c r="F1362" s="332"/>
      <c r="G1362" s="348">
        <v>907</v>
      </c>
      <c r="H1362" s="349"/>
      <c r="I1362" s="360">
        <v>70</v>
      </c>
      <c r="J1362" s="341"/>
      <c r="K1362" s="361"/>
      <c r="L1362" s="350">
        <v>70</v>
      </c>
      <c r="M1362" s="351"/>
      <c r="N1362" s="352"/>
      <c r="O1362" s="340">
        <f>70+70+70+88+84+70+70+70+84+89+72+70</f>
        <v>907</v>
      </c>
      <c r="P1362" s="341"/>
      <c r="Q1362" s="361"/>
      <c r="R1362" s="360">
        <f>70+70+70+88+69+55+70+70+84+89+72+70</f>
        <v>877</v>
      </c>
      <c r="S1362" s="341"/>
      <c r="T1362" s="361"/>
      <c r="U1362" s="54">
        <f>R1362/G1362</f>
        <v>0.96692392502756341</v>
      </c>
      <c r="V1362" s="193">
        <f t="shared" si="427"/>
        <v>907</v>
      </c>
      <c r="W1362" s="193">
        <f t="shared" si="428"/>
        <v>0</v>
      </c>
      <c r="X1362" s="193">
        <f t="shared" si="429"/>
        <v>877</v>
      </c>
      <c r="Y1362" s="193">
        <f t="shared" si="430"/>
        <v>0</v>
      </c>
      <c r="Z1362" s="195">
        <f t="shared" si="431"/>
        <v>0.96692392502756341</v>
      </c>
      <c r="AA1362" s="194">
        <f t="shared" si="432"/>
        <v>0</v>
      </c>
    </row>
    <row r="1363" spans="1:27" ht="15" customHeight="1">
      <c r="A1363" s="4"/>
      <c r="B1363" s="354" t="s">
        <v>78</v>
      </c>
      <c r="C1363" s="362"/>
      <c r="D1363" s="363"/>
      <c r="E1363" s="364"/>
      <c r="F1363" s="365"/>
      <c r="G1363" s="366"/>
      <c r="H1363" s="367"/>
      <c r="I1363" s="368"/>
      <c r="J1363" s="369"/>
      <c r="K1363" s="369"/>
      <c r="L1363" s="370"/>
      <c r="M1363" s="370"/>
      <c r="N1363" s="365"/>
      <c r="O1363" s="368"/>
      <c r="P1363" s="369"/>
      <c r="Q1363" s="369"/>
      <c r="R1363" s="369"/>
      <c r="S1363" s="369"/>
      <c r="T1363" s="369"/>
      <c r="U1363" s="185"/>
    </row>
    <row r="1364" spans="1:27">
      <c r="A1364" s="4"/>
      <c r="B1364" s="328" t="s">
        <v>56</v>
      </c>
      <c r="C1364" s="329"/>
      <c r="D1364" s="330"/>
      <c r="E1364" s="331" t="s">
        <v>58</v>
      </c>
      <c r="F1364" s="332"/>
      <c r="G1364" s="348">
        <v>35</v>
      </c>
      <c r="H1364" s="359"/>
      <c r="I1364" s="360">
        <v>0</v>
      </c>
      <c r="J1364" s="341"/>
      <c r="K1364" s="361"/>
      <c r="L1364" s="350">
        <v>0</v>
      </c>
      <c r="M1364" s="351"/>
      <c r="N1364" s="352"/>
      <c r="O1364" s="340">
        <v>35</v>
      </c>
      <c r="P1364" s="341"/>
      <c r="Q1364" s="361"/>
      <c r="R1364" s="360">
        <v>35</v>
      </c>
      <c r="S1364" s="341"/>
      <c r="T1364" s="361"/>
      <c r="U1364" s="6">
        <f t="shared" ref="U1364" si="433">R1364/G1364</f>
        <v>1</v>
      </c>
      <c r="V1364" s="193">
        <f t="shared" ref="V1364:V1365" si="434">+I1364+O1239</f>
        <v>35</v>
      </c>
      <c r="W1364" s="193">
        <f t="shared" ref="W1364:W1365" si="435">+O1364-V1364</f>
        <v>0</v>
      </c>
      <c r="X1364" s="193">
        <f t="shared" ref="X1364:X1365" si="436">+L1364+R1239</f>
        <v>35</v>
      </c>
      <c r="Y1364" s="193">
        <f t="shared" ref="Y1364:Y1365" si="437">+R1364-X1364</f>
        <v>0</v>
      </c>
      <c r="Z1364" s="195">
        <f t="shared" ref="Z1364:Z1365" si="438">+X1364/G1364</f>
        <v>1</v>
      </c>
      <c r="AA1364" s="194">
        <f t="shared" ref="AA1364:AA1365" si="439">+U1364-Z1364</f>
        <v>0</v>
      </c>
    </row>
    <row r="1365" spans="1:27">
      <c r="A1365" s="4"/>
      <c r="B1365" s="328" t="s">
        <v>57</v>
      </c>
      <c r="C1365" s="329"/>
      <c r="D1365" s="330"/>
      <c r="E1365" s="331" t="s">
        <v>58</v>
      </c>
      <c r="F1365" s="332"/>
      <c r="G1365" s="348">
        <v>907</v>
      </c>
      <c r="H1365" s="349"/>
      <c r="I1365" s="360">
        <v>70</v>
      </c>
      <c r="J1365" s="341"/>
      <c r="K1365" s="361"/>
      <c r="L1365" s="350">
        <v>70</v>
      </c>
      <c r="M1365" s="351"/>
      <c r="N1365" s="352"/>
      <c r="O1365" s="340">
        <f>70+70+70+88+84+70+70+70+85+88+72+70</f>
        <v>907</v>
      </c>
      <c r="P1365" s="341"/>
      <c r="Q1365" s="361"/>
      <c r="R1365" s="360">
        <f>70+70+70+88+69+55+70+70+84+89+72+70</f>
        <v>877</v>
      </c>
      <c r="S1365" s="341"/>
      <c r="T1365" s="361"/>
      <c r="U1365" s="54">
        <f>R1365/G1365</f>
        <v>0.96692392502756341</v>
      </c>
      <c r="V1365" s="193">
        <f t="shared" si="434"/>
        <v>907</v>
      </c>
      <c r="W1365" s="193">
        <f t="shared" si="435"/>
        <v>0</v>
      </c>
      <c r="X1365" s="193">
        <f t="shared" si="436"/>
        <v>877</v>
      </c>
      <c r="Y1365" s="193">
        <f t="shared" si="437"/>
        <v>0</v>
      </c>
      <c r="Z1365" s="195">
        <f t="shared" si="438"/>
        <v>0.96692392502756341</v>
      </c>
      <c r="AA1365" s="194">
        <f t="shared" si="439"/>
        <v>0</v>
      </c>
    </row>
    <row r="1366" spans="1:27" ht="15" customHeight="1">
      <c r="A1366" s="4"/>
      <c r="B1366" s="354" t="s">
        <v>79</v>
      </c>
      <c r="C1366" s="362"/>
      <c r="D1366" s="363"/>
      <c r="E1366" s="364"/>
      <c r="F1366" s="365"/>
      <c r="G1366" s="366"/>
      <c r="H1366" s="367"/>
      <c r="I1366" s="368"/>
      <c r="J1366" s="369"/>
      <c r="K1366" s="369"/>
      <c r="L1366" s="370"/>
      <c r="M1366" s="370"/>
      <c r="N1366" s="365"/>
      <c r="O1366" s="368"/>
      <c r="P1366" s="369"/>
      <c r="Q1366" s="369"/>
      <c r="R1366" s="369"/>
      <c r="S1366" s="369"/>
      <c r="T1366" s="369"/>
      <c r="U1366" s="185"/>
    </row>
    <row r="1367" spans="1:27">
      <c r="A1367" s="4"/>
      <c r="B1367" s="328" t="s">
        <v>56</v>
      </c>
      <c r="C1367" s="329"/>
      <c r="D1367" s="330"/>
      <c r="E1367" s="331" t="s">
        <v>58</v>
      </c>
      <c r="F1367" s="332"/>
      <c r="G1367" s="348">
        <v>96</v>
      </c>
      <c r="H1367" s="359"/>
      <c r="I1367" s="360">
        <v>0</v>
      </c>
      <c r="J1367" s="341"/>
      <c r="K1367" s="361"/>
      <c r="L1367" s="350">
        <v>0</v>
      </c>
      <c r="M1367" s="351"/>
      <c r="N1367" s="352"/>
      <c r="O1367" s="340">
        <v>96</v>
      </c>
      <c r="P1367" s="341"/>
      <c r="Q1367" s="361"/>
      <c r="R1367" s="360">
        <v>96</v>
      </c>
      <c r="S1367" s="341"/>
      <c r="T1367" s="361"/>
      <c r="U1367" s="54">
        <f t="shared" ref="U1367" si="440">R1367/G1367</f>
        <v>1</v>
      </c>
      <c r="V1367" s="193">
        <f t="shared" ref="V1367:V1368" si="441">+I1367+O1242</f>
        <v>96</v>
      </c>
      <c r="W1367" s="193">
        <f t="shared" ref="W1367:W1368" si="442">+O1367-V1367</f>
        <v>0</v>
      </c>
      <c r="X1367" s="193">
        <f t="shared" ref="X1367:X1368" si="443">+L1367+R1242</f>
        <v>96</v>
      </c>
      <c r="Y1367" s="193">
        <f t="shared" ref="Y1367:Y1368" si="444">+R1367-X1367</f>
        <v>0</v>
      </c>
      <c r="Z1367" s="195">
        <f t="shared" ref="Z1367:Z1368" si="445">+X1367/G1367</f>
        <v>1</v>
      </c>
      <c r="AA1367" s="194">
        <f t="shared" ref="AA1367:AA1368" si="446">+U1367-Z1367</f>
        <v>0</v>
      </c>
    </row>
    <row r="1368" spans="1:27">
      <c r="A1368" s="4"/>
      <c r="B1368" s="328" t="s">
        <v>57</v>
      </c>
      <c r="C1368" s="329"/>
      <c r="D1368" s="330"/>
      <c r="E1368" s="331" t="s">
        <v>58</v>
      </c>
      <c r="F1368" s="332"/>
      <c r="G1368" s="348">
        <v>1440</v>
      </c>
      <c r="H1368" s="349"/>
      <c r="I1368" s="360">
        <v>0</v>
      </c>
      <c r="J1368" s="341"/>
      <c r="K1368" s="361"/>
      <c r="L1368" s="350">
        <v>0</v>
      </c>
      <c r="M1368" s="351"/>
      <c r="N1368" s="352"/>
      <c r="O1368" s="340">
        <f>126+258+192+192+192+207+267+6+0</f>
        <v>1440</v>
      </c>
      <c r="P1368" s="341"/>
      <c r="Q1368" s="361"/>
      <c r="R1368" s="360">
        <f>126+258+192+192+192+207+267+6+0</f>
        <v>1440</v>
      </c>
      <c r="S1368" s="341"/>
      <c r="T1368" s="361"/>
      <c r="U1368" s="54">
        <f>R1368/G1368</f>
        <v>1</v>
      </c>
      <c r="V1368" s="193">
        <f t="shared" si="441"/>
        <v>1440</v>
      </c>
      <c r="W1368" s="193">
        <f t="shared" si="442"/>
        <v>0</v>
      </c>
      <c r="X1368" s="193">
        <f t="shared" si="443"/>
        <v>1440</v>
      </c>
      <c r="Y1368" s="193">
        <f t="shared" si="444"/>
        <v>0</v>
      </c>
      <c r="Z1368" s="195">
        <f t="shared" si="445"/>
        <v>1</v>
      </c>
      <c r="AA1368" s="194">
        <f t="shared" si="446"/>
        <v>0</v>
      </c>
    </row>
    <row r="1369" spans="1:27">
      <c r="A1369" s="4"/>
      <c r="B1369" s="354" t="s">
        <v>63</v>
      </c>
      <c r="C1369" s="355"/>
      <c r="D1369" s="356"/>
      <c r="E1369" s="357"/>
      <c r="F1369" s="358"/>
      <c r="G1369" s="348"/>
      <c r="H1369" s="349"/>
      <c r="I1369" s="360"/>
      <c r="J1369" s="341"/>
      <c r="K1369" s="361"/>
      <c r="L1369" s="353"/>
      <c r="M1369" s="351"/>
      <c r="N1369" s="352"/>
      <c r="O1369" s="340"/>
      <c r="P1369" s="341"/>
      <c r="Q1369" s="341"/>
      <c r="R1369" s="341"/>
      <c r="S1369" s="341"/>
      <c r="T1369" s="341"/>
      <c r="U1369" s="6"/>
    </row>
    <row r="1370" spans="1:27">
      <c r="A1370" s="4"/>
      <c r="B1370" s="328" t="s">
        <v>60</v>
      </c>
      <c r="C1370" s="329"/>
      <c r="D1370" s="330"/>
      <c r="E1370" s="331" t="s">
        <v>58</v>
      </c>
      <c r="F1370" s="332"/>
      <c r="G1370" s="348">
        <v>12</v>
      </c>
      <c r="H1370" s="359"/>
      <c r="I1370" s="350">
        <v>0</v>
      </c>
      <c r="J1370" s="351"/>
      <c r="K1370" s="349"/>
      <c r="L1370" s="350">
        <v>0</v>
      </c>
      <c r="M1370" s="351"/>
      <c r="N1370" s="352"/>
      <c r="O1370" s="340">
        <f>2+2+2+2+2+2</f>
        <v>12</v>
      </c>
      <c r="P1370" s="341"/>
      <c r="Q1370" s="361"/>
      <c r="R1370" s="360">
        <f>2+2+2+2+2+2</f>
        <v>12</v>
      </c>
      <c r="S1370" s="341"/>
      <c r="T1370" s="361"/>
      <c r="U1370" s="54">
        <f>R1370/G1370</f>
        <v>1</v>
      </c>
      <c r="V1370" s="193">
        <f>+I1370+O1245</f>
        <v>12</v>
      </c>
      <c r="W1370" s="193">
        <f>+O1370-V1370</f>
        <v>0</v>
      </c>
      <c r="X1370" s="193">
        <f>+L1370+R1245</f>
        <v>12</v>
      </c>
      <c r="Y1370" s="193">
        <f>+R1370-X1370</f>
        <v>0</v>
      </c>
      <c r="Z1370" s="195">
        <f>+X1370/G1370</f>
        <v>1</v>
      </c>
      <c r="AA1370" s="194">
        <f>+U1370-Z1370</f>
        <v>0</v>
      </c>
    </row>
    <row r="1371" spans="1:27">
      <c r="A1371" s="4"/>
      <c r="B1371" s="354" t="s">
        <v>61</v>
      </c>
      <c r="C1371" s="355"/>
      <c r="D1371" s="356"/>
      <c r="E1371" s="357"/>
      <c r="F1371" s="358"/>
      <c r="G1371" s="348"/>
      <c r="H1371" s="349"/>
      <c r="I1371" s="350"/>
      <c r="J1371" s="351"/>
      <c r="K1371" s="349"/>
      <c r="L1371" s="353"/>
      <c r="M1371" s="351"/>
      <c r="N1371" s="352"/>
      <c r="O1371" s="340"/>
      <c r="P1371" s="341"/>
      <c r="Q1371" s="341"/>
      <c r="R1371" s="341"/>
      <c r="S1371" s="341"/>
      <c r="T1371" s="341"/>
      <c r="U1371" s="6"/>
    </row>
    <row r="1372" spans="1:27" ht="15" customHeight="1">
      <c r="A1372" s="4"/>
      <c r="B1372" s="328" t="s">
        <v>61</v>
      </c>
      <c r="C1372" s="329"/>
      <c r="D1372" s="330"/>
      <c r="E1372" s="331" t="s">
        <v>58</v>
      </c>
      <c r="F1372" s="332"/>
      <c r="G1372" s="348">
        <v>15</v>
      </c>
      <c r="H1372" s="349"/>
      <c r="I1372" s="350">
        <v>0</v>
      </c>
      <c r="J1372" s="351"/>
      <c r="K1372" s="349"/>
      <c r="L1372" s="350">
        <v>0</v>
      </c>
      <c r="M1372" s="351"/>
      <c r="N1372" s="352"/>
      <c r="O1372" s="340">
        <f>5+0+5+0+0+5</f>
        <v>15</v>
      </c>
      <c r="P1372" s="341"/>
      <c r="Q1372" s="361"/>
      <c r="R1372" s="360">
        <f>0+5+0+5+0+5</f>
        <v>15</v>
      </c>
      <c r="S1372" s="341"/>
      <c r="T1372" s="361"/>
      <c r="U1372" s="54">
        <f>R1372/G1372</f>
        <v>1</v>
      </c>
      <c r="V1372" s="193">
        <f>+I1372+O1247</f>
        <v>15</v>
      </c>
      <c r="W1372" s="193">
        <f>+O1372-V1372</f>
        <v>0</v>
      </c>
      <c r="X1372" s="193">
        <f>+L1372+R1247</f>
        <v>15</v>
      </c>
      <c r="Y1372" s="193">
        <f>+R1372-X1372</f>
        <v>0</v>
      </c>
      <c r="Z1372" s="195">
        <f>+X1372/G1372</f>
        <v>1</v>
      </c>
      <c r="AA1372" s="194">
        <f>+U1372-Z1372</f>
        <v>0</v>
      </c>
    </row>
    <row r="1373" spans="1:27" ht="15" customHeight="1">
      <c r="A1373" s="4"/>
      <c r="B1373" s="354" t="s">
        <v>62</v>
      </c>
      <c r="C1373" s="355"/>
      <c r="D1373" s="356"/>
      <c r="E1373" s="357"/>
      <c r="F1373" s="358"/>
      <c r="G1373" s="348"/>
      <c r="H1373" s="349"/>
      <c r="I1373" s="350"/>
      <c r="J1373" s="351"/>
      <c r="K1373" s="349"/>
      <c r="L1373" s="353"/>
      <c r="M1373" s="351"/>
      <c r="N1373" s="352"/>
      <c r="O1373" s="340"/>
      <c r="P1373" s="341"/>
      <c r="Q1373" s="341"/>
      <c r="R1373" s="341"/>
      <c r="S1373" s="341"/>
      <c r="T1373" s="341"/>
      <c r="U1373" s="6"/>
    </row>
    <row r="1374" spans="1:27" ht="15" customHeight="1" thickBot="1">
      <c r="A1374" s="4"/>
      <c r="B1374" s="328" t="s">
        <v>62</v>
      </c>
      <c r="C1374" s="329"/>
      <c r="D1374" s="330"/>
      <c r="E1374" s="331" t="s">
        <v>58</v>
      </c>
      <c r="F1374" s="332"/>
      <c r="G1374" s="333">
        <v>1</v>
      </c>
      <c r="H1374" s="334"/>
      <c r="I1374" s="335">
        <v>1</v>
      </c>
      <c r="J1374" s="336"/>
      <c r="K1374" s="334"/>
      <c r="L1374" s="458">
        <v>0</v>
      </c>
      <c r="M1374" s="336"/>
      <c r="N1374" s="459"/>
      <c r="O1374" s="340">
        <v>1</v>
      </c>
      <c r="P1374" s="341"/>
      <c r="Q1374" s="341"/>
      <c r="R1374" s="341">
        <v>1</v>
      </c>
      <c r="S1374" s="341"/>
      <c r="T1374" s="341"/>
      <c r="U1374" s="54">
        <f>R1374/G1374</f>
        <v>1</v>
      </c>
      <c r="V1374" s="193">
        <f>+I1374+O1249</f>
        <v>1</v>
      </c>
      <c r="W1374" s="193">
        <f>+O1374-V1374</f>
        <v>0</v>
      </c>
      <c r="X1374" s="193">
        <f>+L1374+R1249</f>
        <v>1</v>
      </c>
      <c r="Y1374" s="193">
        <f>+R1374-X1374</f>
        <v>0</v>
      </c>
      <c r="Z1374" s="195">
        <f>+X1374/G1374</f>
        <v>1</v>
      </c>
      <c r="AA1374" s="194">
        <f>+U1374-Z1374</f>
        <v>0</v>
      </c>
    </row>
    <row r="1375" spans="1:27" ht="15.75" thickBot="1">
      <c r="A1375" s="4"/>
      <c r="B1375" s="342" t="s">
        <v>21</v>
      </c>
      <c r="C1375" s="343"/>
      <c r="D1375" s="343"/>
      <c r="E1375" s="343"/>
      <c r="F1375" s="344"/>
      <c r="G1375" s="345"/>
      <c r="H1375" s="346"/>
      <c r="I1375" s="346"/>
      <c r="J1375" s="346"/>
      <c r="K1375" s="346"/>
      <c r="L1375" s="346"/>
      <c r="M1375" s="346"/>
      <c r="N1375" s="347"/>
      <c r="O1375" s="345"/>
      <c r="P1375" s="346"/>
      <c r="Q1375" s="346"/>
      <c r="R1375" s="346"/>
      <c r="S1375" s="346"/>
      <c r="T1375" s="346"/>
      <c r="U1375" s="347"/>
    </row>
    <row r="1376" spans="1:27" ht="15.75" thickBot="1">
      <c r="B1376" s="7"/>
      <c r="C1376" s="8"/>
      <c r="D1376" s="9"/>
      <c r="E1376" s="10"/>
      <c r="F1376" s="11"/>
      <c r="G1376" s="12"/>
      <c r="H1376" s="13"/>
      <c r="I1376" s="14"/>
      <c r="J1376" s="14"/>
      <c r="K1376" s="15"/>
      <c r="L1376" s="14"/>
      <c r="M1376" s="15"/>
      <c r="N1376" s="14"/>
      <c r="O1376" s="14"/>
      <c r="P1376" s="14"/>
      <c r="Q1376" s="14"/>
      <c r="R1376" s="15"/>
      <c r="S1376" s="14"/>
      <c r="T1376" s="12"/>
      <c r="U1376" s="14"/>
    </row>
    <row r="1377" spans="1:27" ht="16.5" customHeight="1" thickBot="1">
      <c r="A1377" s="4"/>
      <c r="B1377" s="306" t="s">
        <v>22</v>
      </c>
      <c r="C1377" s="307"/>
      <c r="D1377" s="307"/>
      <c r="E1377" s="307"/>
      <c r="F1377" s="308"/>
      <c r="G1377" s="312" t="s">
        <v>129</v>
      </c>
      <c r="H1377" s="313"/>
      <c r="I1377" s="313"/>
      <c r="J1377" s="313"/>
      <c r="K1377" s="313"/>
      <c r="L1377" s="313"/>
      <c r="M1377" s="313"/>
      <c r="N1377" s="313"/>
      <c r="O1377" s="313"/>
      <c r="P1377" s="313"/>
      <c r="Q1377" s="313"/>
      <c r="R1377" s="313"/>
      <c r="S1377" s="313"/>
      <c r="T1377" s="313"/>
      <c r="U1377" s="314"/>
    </row>
    <row r="1378" spans="1:27" ht="15.75" thickBot="1">
      <c r="A1378" s="4"/>
      <c r="B1378" s="309"/>
      <c r="C1378" s="310"/>
      <c r="D1378" s="310"/>
      <c r="E1378" s="310"/>
      <c r="F1378" s="311"/>
      <c r="G1378" s="315" t="s">
        <v>24</v>
      </c>
      <c r="H1378" s="316"/>
      <c r="I1378" s="310" t="s">
        <v>16</v>
      </c>
      <c r="J1378" s="310"/>
      <c r="K1378" s="310"/>
      <c r="L1378" s="310"/>
      <c r="M1378" s="310"/>
      <c r="N1378" s="311"/>
      <c r="O1378" s="321" t="s">
        <v>17</v>
      </c>
      <c r="P1378" s="322"/>
      <c r="Q1378" s="322"/>
      <c r="R1378" s="322"/>
      <c r="S1378" s="322"/>
      <c r="T1378" s="322"/>
      <c r="U1378" s="323"/>
    </row>
    <row r="1379" spans="1:27" ht="15.75" customHeight="1" thickBot="1">
      <c r="A1379" s="4"/>
      <c r="B1379" s="309"/>
      <c r="C1379" s="310"/>
      <c r="D1379" s="310"/>
      <c r="E1379" s="310"/>
      <c r="F1379" s="311"/>
      <c r="G1379" s="317"/>
      <c r="H1379" s="318"/>
      <c r="I1379" s="267" t="s">
        <v>18</v>
      </c>
      <c r="J1379" s="268"/>
      <c r="K1379" s="269"/>
      <c r="L1379" s="267" t="s">
        <v>25</v>
      </c>
      <c r="M1379" s="268"/>
      <c r="N1379" s="269"/>
      <c r="O1379" s="267" t="s">
        <v>18</v>
      </c>
      <c r="P1379" s="268"/>
      <c r="Q1379" s="324"/>
      <c r="R1379" s="325" t="s">
        <v>25</v>
      </c>
      <c r="S1379" s="268"/>
      <c r="T1379" s="269"/>
      <c r="U1379" s="326" t="s">
        <v>20</v>
      </c>
      <c r="V1379" s="200" t="s">
        <v>153</v>
      </c>
      <c r="W1379" s="201"/>
      <c r="X1379" s="200" t="s">
        <v>154</v>
      </c>
      <c r="Y1379" s="201"/>
      <c r="Z1379" s="200" t="s">
        <v>155</v>
      </c>
      <c r="AA1379" s="201"/>
    </row>
    <row r="1380" spans="1:27" ht="25.5" customHeight="1" thickBot="1">
      <c r="A1380" s="4"/>
      <c r="B1380" s="309"/>
      <c r="C1380" s="310"/>
      <c r="D1380" s="310"/>
      <c r="E1380" s="310"/>
      <c r="F1380" s="311"/>
      <c r="G1380" s="319"/>
      <c r="H1380" s="320"/>
      <c r="I1380" s="182" t="s">
        <v>26</v>
      </c>
      <c r="J1380" s="184" t="s">
        <v>27</v>
      </c>
      <c r="K1380" s="184" t="s">
        <v>28</v>
      </c>
      <c r="L1380" s="182" t="s">
        <v>26</v>
      </c>
      <c r="M1380" s="184" t="s">
        <v>27</v>
      </c>
      <c r="N1380" s="183" t="s">
        <v>28</v>
      </c>
      <c r="O1380" s="19" t="s">
        <v>26</v>
      </c>
      <c r="P1380" s="182" t="s">
        <v>27</v>
      </c>
      <c r="Q1380" s="20" t="s">
        <v>28</v>
      </c>
      <c r="R1380" s="21" t="s">
        <v>26</v>
      </c>
      <c r="S1380" s="181" t="s">
        <v>27</v>
      </c>
      <c r="T1380" s="184" t="s">
        <v>28</v>
      </c>
      <c r="U1380" s="327"/>
      <c r="V1380" s="202"/>
      <c r="W1380" s="203"/>
      <c r="X1380" s="202"/>
      <c r="Y1380" s="203"/>
      <c r="Z1380" s="202"/>
      <c r="AA1380" s="203"/>
    </row>
    <row r="1381" spans="1:27" ht="15.75" thickBot="1">
      <c r="A1381" s="4"/>
      <c r="B1381" s="302" t="s">
        <v>29</v>
      </c>
      <c r="C1381" s="303"/>
      <c r="D1381" s="303"/>
      <c r="E1381" s="303"/>
      <c r="F1381" s="303"/>
      <c r="G1381" s="303"/>
      <c r="H1381" s="303"/>
      <c r="I1381" s="303"/>
      <c r="J1381" s="303"/>
      <c r="K1381" s="303"/>
      <c r="L1381" s="303"/>
      <c r="M1381" s="303"/>
      <c r="N1381" s="303"/>
      <c r="O1381" s="303"/>
      <c r="P1381" s="303"/>
      <c r="Q1381" s="303"/>
      <c r="R1381" s="303"/>
      <c r="S1381" s="303"/>
      <c r="T1381" s="303"/>
      <c r="U1381" s="304"/>
    </row>
    <row r="1382" spans="1:27" s="40" customFormat="1" ht="15.75" customHeight="1">
      <c r="A1382" s="152"/>
      <c r="B1382" s="287" t="s">
        <v>82</v>
      </c>
      <c r="C1382" s="288"/>
      <c r="D1382" s="288"/>
      <c r="E1382" s="288"/>
      <c r="F1382" s="289"/>
      <c r="G1382" s="290">
        <v>1908</v>
      </c>
      <c r="H1382" s="305"/>
      <c r="I1382" s="186">
        <v>0</v>
      </c>
      <c r="J1382" s="141">
        <v>0</v>
      </c>
      <c r="K1382" s="141">
        <v>0</v>
      </c>
      <c r="L1382" s="141">
        <v>0</v>
      </c>
      <c r="M1382" s="141">
        <v>0</v>
      </c>
      <c r="N1382" s="141">
        <v>0</v>
      </c>
      <c r="O1382" s="141">
        <v>1908</v>
      </c>
      <c r="P1382" s="141">
        <v>0</v>
      </c>
      <c r="Q1382" s="154">
        <v>0</v>
      </c>
      <c r="R1382" s="141">
        <v>0</v>
      </c>
      <c r="S1382" s="141">
        <v>0</v>
      </c>
      <c r="T1382" s="154">
        <v>0</v>
      </c>
      <c r="U1382" s="155">
        <v>0</v>
      </c>
      <c r="V1382" s="128">
        <f>+I1382+O1257</f>
        <v>1908</v>
      </c>
      <c r="W1382" s="128">
        <f>+O1382-V1382</f>
        <v>0</v>
      </c>
      <c r="X1382" s="128">
        <f>+L1382+R1257</f>
        <v>0</v>
      </c>
      <c r="Y1382" s="128">
        <f>+R1382-X1382</f>
        <v>0</v>
      </c>
      <c r="Z1382" s="195">
        <f>+X1382/G1382</f>
        <v>0</v>
      </c>
      <c r="AA1382" s="194">
        <f>+U1382-Z1382</f>
        <v>0</v>
      </c>
    </row>
    <row r="1383" spans="1:27" s="40" customFormat="1" ht="15.75" customHeight="1">
      <c r="A1383" s="152"/>
      <c r="B1383" s="299" t="s">
        <v>141</v>
      </c>
      <c r="C1383" s="300"/>
      <c r="D1383" s="300"/>
      <c r="E1383" s="300"/>
      <c r="F1383" s="301"/>
      <c r="G1383" s="277">
        <v>0</v>
      </c>
      <c r="H1383" s="292"/>
      <c r="I1383" s="142">
        <v>0</v>
      </c>
      <c r="J1383" s="117">
        <v>0</v>
      </c>
      <c r="K1383" s="117">
        <v>0</v>
      </c>
      <c r="L1383" s="117">
        <v>0</v>
      </c>
      <c r="M1383" s="117">
        <v>0</v>
      </c>
      <c r="N1383" s="117">
        <v>0</v>
      </c>
      <c r="O1383" s="117">
        <v>0</v>
      </c>
      <c r="P1383" s="117">
        <v>0</v>
      </c>
      <c r="Q1383" s="187">
        <v>0</v>
      </c>
      <c r="R1383" s="117">
        <v>8216</v>
      </c>
      <c r="S1383" s="117">
        <v>0</v>
      </c>
      <c r="T1383" s="187">
        <v>0</v>
      </c>
      <c r="U1383" s="153">
        <f>R1383/R1383</f>
        <v>1</v>
      </c>
      <c r="V1383" s="128">
        <f t="shared" ref="V1383:V1389" si="447">+I1383+O1258</f>
        <v>0</v>
      </c>
      <c r="W1383" s="128">
        <f t="shared" ref="W1383:W1391" si="448">+O1383-V1383</f>
        <v>0</v>
      </c>
      <c r="X1383" s="128">
        <f t="shared" ref="X1383:X1389" si="449">+L1383+R1258</f>
        <v>8216</v>
      </c>
      <c r="Y1383" s="128">
        <f t="shared" ref="Y1383:Y1391" si="450">+R1383-X1383</f>
        <v>0</v>
      </c>
      <c r="Z1383" s="195">
        <v>1</v>
      </c>
      <c r="AA1383" s="194">
        <f t="shared" ref="AA1383:AA1391" si="451">+U1383-Z1383</f>
        <v>0</v>
      </c>
    </row>
    <row r="1384" spans="1:27" s="40" customFormat="1">
      <c r="A1384" s="152"/>
      <c r="B1384" s="274" t="s">
        <v>83</v>
      </c>
      <c r="C1384" s="275"/>
      <c r="D1384" s="275"/>
      <c r="E1384" s="275"/>
      <c r="F1384" s="276"/>
      <c r="G1384" s="277">
        <v>9000</v>
      </c>
      <c r="H1384" s="292"/>
      <c r="I1384" s="142">
        <v>0</v>
      </c>
      <c r="J1384" s="117">
        <v>0</v>
      </c>
      <c r="K1384" s="117">
        <v>0</v>
      </c>
      <c r="L1384" s="117">
        <v>0</v>
      </c>
      <c r="M1384" s="117">
        <v>0</v>
      </c>
      <c r="N1384" s="117">
        <v>0</v>
      </c>
      <c r="O1384" s="117">
        <f>0+0+0+0+3000+0+3000+0+0+3000+0+0</f>
        <v>9000</v>
      </c>
      <c r="P1384" s="117">
        <v>0</v>
      </c>
      <c r="Q1384" s="117">
        <v>0</v>
      </c>
      <c r="R1384" s="117">
        <f>0+0+0+0+0+0+0+4242.4+0+4647.11</f>
        <v>8889.5099999999984</v>
      </c>
      <c r="S1384" s="117">
        <v>0</v>
      </c>
      <c r="T1384" s="117">
        <v>0</v>
      </c>
      <c r="U1384" s="153">
        <f t="shared" ref="U1384:U1403" si="452">R1384/G1384</f>
        <v>0.98772333333333318</v>
      </c>
      <c r="V1384" s="128">
        <f t="shared" si="447"/>
        <v>9000</v>
      </c>
      <c r="W1384" s="128">
        <f t="shared" si="448"/>
        <v>0</v>
      </c>
      <c r="X1384" s="128">
        <f t="shared" si="449"/>
        <v>8889.5099999999984</v>
      </c>
      <c r="Y1384" s="128">
        <f t="shared" si="450"/>
        <v>0</v>
      </c>
      <c r="Z1384" s="195">
        <f t="shared" ref="Z1384:Z1391" si="453">+X1384/G1384</f>
        <v>0.98772333333333318</v>
      </c>
      <c r="AA1384" s="194">
        <f t="shared" si="451"/>
        <v>0</v>
      </c>
    </row>
    <row r="1385" spans="1:27" s="40" customFormat="1">
      <c r="A1385" s="166"/>
      <c r="B1385" s="274" t="s">
        <v>84</v>
      </c>
      <c r="C1385" s="275"/>
      <c r="D1385" s="275"/>
      <c r="E1385" s="275"/>
      <c r="F1385" s="276"/>
      <c r="G1385" s="277">
        <v>15000</v>
      </c>
      <c r="H1385" s="292"/>
      <c r="I1385" s="142">
        <v>0</v>
      </c>
      <c r="J1385" s="117">
        <v>0</v>
      </c>
      <c r="K1385" s="117">
        <v>0</v>
      </c>
      <c r="L1385" s="117">
        <v>0</v>
      </c>
      <c r="M1385" s="117">
        <v>0</v>
      </c>
      <c r="N1385" s="117">
        <v>0</v>
      </c>
      <c r="O1385" s="117">
        <v>15000</v>
      </c>
      <c r="P1385" s="117">
        <v>0</v>
      </c>
      <c r="Q1385" s="117">
        <v>0</v>
      </c>
      <c r="R1385" s="117">
        <f>6990</f>
        <v>6990</v>
      </c>
      <c r="S1385" s="117">
        <v>0</v>
      </c>
      <c r="T1385" s="117">
        <v>0</v>
      </c>
      <c r="U1385" s="153">
        <f t="shared" si="452"/>
        <v>0.46600000000000003</v>
      </c>
      <c r="V1385" s="128">
        <f t="shared" si="447"/>
        <v>15000</v>
      </c>
      <c r="W1385" s="128">
        <f t="shared" si="448"/>
        <v>0</v>
      </c>
      <c r="X1385" s="128">
        <f t="shared" si="449"/>
        <v>6990</v>
      </c>
      <c r="Y1385" s="128">
        <f t="shared" si="450"/>
        <v>0</v>
      </c>
      <c r="Z1385" s="195">
        <f t="shared" si="453"/>
        <v>0.46600000000000003</v>
      </c>
      <c r="AA1385" s="194">
        <f t="shared" si="451"/>
        <v>0</v>
      </c>
    </row>
    <row r="1386" spans="1:27" s="40" customFormat="1">
      <c r="A1386" s="152"/>
      <c r="B1386" s="274" t="s">
        <v>85</v>
      </c>
      <c r="C1386" s="275"/>
      <c r="D1386" s="275"/>
      <c r="E1386" s="275"/>
      <c r="F1386" s="276"/>
      <c r="G1386" s="277">
        <v>2000</v>
      </c>
      <c r="H1386" s="292"/>
      <c r="I1386" s="142">
        <v>0</v>
      </c>
      <c r="J1386" s="117">
        <v>0</v>
      </c>
      <c r="K1386" s="117">
        <v>0</v>
      </c>
      <c r="L1386" s="117">
        <v>0</v>
      </c>
      <c r="M1386" s="117">
        <v>0</v>
      </c>
      <c r="N1386" s="117">
        <v>0</v>
      </c>
      <c r="O1386" s="117">
        <v>2000</v>
      </c>
      <c r="P1386" s="117">
        <v>0</v>
      </c>
      <c r="Q1386" s="117">
        <v>0</v>
      </c>
      <c r="R1386" s="117">
        <v>2000</v>
      </c>
      <c r="S1386" s="117">
        <v>0</v>
      </c>
      <c r="T1386" s="117">
        <v>0</v>
      </c>
      <c r="U1386" s="153">
        <f t="shared" si="452"/>
        <v>1</v>
      </c>
      <c r="V1386" s="128">
        <f t="shared" si="447"/>
        <v>2000</v>
      </c>
      <c r="W1386" s="128">
        <f t="shared" si="448"/>
        <v>0</v>
      </c>
      <c r="X1386" s="128">
        <f t="shared" si="449"/>
        <v>2000</v>
      </c>
      <c r="Y1386" s="128">
        <f t="shared" si="450"/>
        <v>0</v>
      </c>
      <c r="Z1386" s="195">
        <f t="shared" si="453"/>
        <v>1</v>
      </c>
      <c r="AA1386" s="194">
        <f t="shared" si="451"/>
        <v>0</v>
      </c>
    </row>
    <row r="1387" spans="1:27" s="40" customFormat="1">
      <c r="A1387" s="152"/>
      <c r="B1387" s="299" t="s">
        <v>142</v>
      </c>
      <c r="C1387" s="300"/>
      <c r="D1387" s="300"/>
      <c r="E1387" s="300"/>
      <c r="F1387" s="301"/>
      <c r="G1387" s="277">
        <v>0</v>
      </c>
      <c r="H1387" s="292"/>
      <c r="I1387" s="142">
        <v>0</v>
      </c>
      <c r="J1387" s="117">
        <v>0</v>
      </c>
      <c r="K1387" s="117">
        <v>0</v>
      </c>
      <c r="L1387" s="117">
        <v>0</v>
      </c>
      <c r="M1387" s="117">
        <v>0</v>
      </c>
      <c r="N1387" s="117">
        <v>0</v>
      </c>
      <c r="O1387" s="117">
        <v>0</v>
      </c>
      <c r="P1387" s="117">
        <v>0</v>
      </c>
      <c r="Q1387" s="117">
        <v>0</v>
      </c>
      <c r="R1387" s="117">
        <v>1841.4</v>
      </c>
      <c r="S1387" s="117">
        <v>0</v>
      </c>
      <c r="T1387" s="117">
        <v>0</v>
      </c>
      <c r="U1387" s="153">
        <f>R1387/R1387</f>
        <v>1</v>
      </c>
      <c r="V1387" s="128">
        <f t="shared" si="447"/>
        <v>0</v>
      </c>
      <c r="W1387" s="128">
        <f t="shared" si="448"/>
        <v>0</v>
      </c>
      <c r="X1387" s="128">
        <f t="shared" si="449"/>
        <v>1841.4</v>
      </c>
      <c r="Y1387" s="128">
        <f t="shared" si="450"/>
        <v>0</v>
      </c>
      <c r="Z1387" s="195">
        <v>1</v>
      </c>
      <c r="AA1387" s="194">
        <f t="shared" si="451"/>
        <v>0</v>
      </c>
    </row>
    <row r="1388" spans="1:27" s="40" customFormat="1">
      <c r="A1388" s="152"/>
      <c r="B1388" s="274" t="s">
        <v>119</v>
      </c>
      <c r="C1388" s="275"/>
      <c r="D1388" s="275"/>
      <c r="E1388" s="275"/>
      <c r="F1388" s="276"/>
      <c r="G1388" s="277">
        <v>198000</v>
      </c>
      <c r="H1388" s="292"/>
      <c r="I1388" s="142">
        <v>16500</v>
      </c>
      <c r="J1388" s="117">
        <v>0</v>
      </c>
      <c r="K1388" s="117">
        <v>0</v>
      </c>
      <c r="L1388" s="117">
        <v>4502.33</v>
      </c>
      <c r="M1388" s="117">
        <v>0</v>
      </c>
      <c r="N1388" s="117">
        <v>0</v>
      </c>
      <c r="O1388" s="117">
        <f>16500+16500+16500+16500+16500+16500+16500+16500+16500+16500+16500+16500</f>
        <v>198000</v>
      </c>
      <c r="P1388" s="117">
        <v>0</v>
      </c>
      <c r="Q1388" s="117">
        <v>0</v>
      </c>
      <c r="R1388" s="117">
        <f>0+0+0+5000+2500+5000+64350.4+20000+53800.17+2380.22+46650.53+4502.33</f>
        <v>204183.65</v>
      </c>
      <c r="S1388" s="117">
        <v>0</v>
      </c>
      <c r="T1388" s="117">
        <v>0</v>
      </c>
      <c r="U1388" s="153">
        <f t="shared" si="452"/>
        <v>1.0312305555555554</v>
      </c>
      <c r="V1388" s="128">
        <f t="shared" si="447"/>
        <v>198000</v>
      </c>
      <c r="W1388" s="128">
        <f t="shared" si="448"/>
        <v>0</v>
      </c>
      <c r="X1388" s="128">
        <f t="shared" si="449"/>
        <v>204183.65</v>
      </c>
      <c r="Y1388" s="128">
        <f t="shared" si="450"/>
        <v>0</v>
      </c>
      <c r="Z1388" s="195">
        <f t="shared" si="453"/>
        <v>1.0312305555555554</v>
      </c>
      <c r="AA1388" s="194">
        <f t="shared" si="451"/>
        <v>0</v>
      </c>
    </row>
    <row r="1389" spans="1:27" s="40" customFormat="1">
      <c r="A1389" s="152"/>
      <c r="B1389" s="274" t="s">
        <v>130</v>
      </c>
      <c r="C1389" s="275"/>
      <c r="D1389" s="275"/>
      <c r="E1389" s="275"/>
      <c r="F1389" s="276"/>
      <c r="G1389" s="277">
        <v>13000</v>
      </c>
      <c r="H1389" s="292"/>
      <c r="I1389" s="142">
        <v>13000</v>
      </c>
      <c r="J1389" s="117">
        <v>0</v>
      </c>
      <c r="K1389" s="117">
        <v>0</v>
      </c>
      <c r="L1389" s="117">
        <v>13000</v>
      </c>
      <c r="M1389" s="117">
        <v>0</v>
      </c>
      <c r="N1389" s="117">
        <v>0</v>
      </c>
      <c r="O1389" s="117">
        <v>13000</v>
      </c>
      <c r="P1389" s="117">
        <v>0</v>
      </c>
      <c r="Q1389" s="117">
        <v>0</v>
      </c>
      <c r="R1389" s="117">
        <v>13000</v>
      </c>
      <c r="S1389" s="117">
        <v>0</v>
      </c>
      <c r="T1389" s="117">
        <v>0</v>
      </c>
      <c r="U1389" s="153">
        <f t="shared" si="452"/>
        <v>1</v>
      </c>
      <c r="V1389" s="128">
        <f t="shared" si="447"/>
        <v>13000</v>
      </c>
      <c r="W1389" s="128">
        <f t="shared" si="448"/>
        <v>0</v>
      </c>
      <c r="X1389" s="128">
        <f t="shared" si="449"/>
        <v>13000</v>
      </c>
      <c r="Y1389" s="128">
        <f t="shared" si="450"/>
        <v>0</v>
      </c>
      <c r="Z1389" s="195">
        <f t="shared" si="453"/>
        <v>1</v>
      </c>
      <c r="AA1389" s="194">
        <f t="shared" si="451"/>
        <v>0</v>
      </c>
    </row>
    <row r="1390" spans="1:27" s="40" customFormat="1">
      <c r="A1390" s="152"/>
      <c r="B1390" s="274" t="s">
        <v>147</v>
      </c>
      <c r="C1390" s="275"/>
      <c r="D1390" s="275"/>
      <c r="E1390" s="275"/>
      <c r="F1390" s="276"/>
      <c r="G1390" s="277">
        <v>0</v>
      </c>
      <c r="H1390" s="292"/>
      <c r="I1390" s="142">
        <v>0</v>
      </c>
      <c r="J1390" s="117">
        <v>0</v>
      </c>
      <c r="K1390" s="117">
        <v>0</v>
      </c>
      <c r="L1390" s="117">
        <v>7225.74</v>
      </c>
      <c r="M1390" s="117">
        <v>0</v>
      </c>
      <c r="N1390" s="117">
        <v>0</v>
      </c>
      <c r="O1390" s="117">
        <v>0</v>
      </c>
      <c r="P1390" s="117">
        <v>0</v>
      </c>
      <c r="Q1390" s="117">
        <v>0</v>
      </c>
      <c r="R1390" s="117">
        <v>7225.74</v>
      </c>
      <c r="S1390" s="117">
        <v>0</v>
      </c>
      <c r="T1390" s="117">
        <v>0</v>
      </c>
      <c r="U1390" s="153">
        <f>R1390/L1390</f>
        <v>1</v>
      </c>
      <c r="V1390" s="128">
        <f>+I1390</f>
        <v>0</v>
      </c>
      <c r="W1390" s="128">
        <f t="shared" si="448"/>
        <v>0</v>
      </c>
      <c r="X1390" s="128">
        <f>+R1390</f>
        <v>7225.74</v>
      </c>
      <c r="Y1390" s="128">
        <f t="shared" si="450"/>
        <v>0</v>
      </c>
      <c r="Z1390" s="195">
        <v>1</v>
      </c>
      <c r="AA1390" s="194">
        <f t="shared" si="451"/>
        <v>0</v>
      </c>
    </row>
    <row r="1391" spans="1:27" s="40" customFormat="1">
      <c r="A1391" s="152"/>
      <c r="B1391" s="274" t="s">
        <v>86</v>
      </c>
      <c r="C1391" s="275"/>
      <c r="D1391" s="275"/>
      <c r="E1391" s="275"/>
      <c r="F1391" s="276"/>
      <c r="G1391" s="277">
        <v>30000</v>
      </c>
      <c r="H1391" s="292"/>
      <c r="I1391" s="142">
        <v>0</v>
      </c>
      <c r="J1391" s="117">
        <v>0</v>
      </c>
      <c r="K1391" s="117">
        <v>0</v>
      </c>
      <c r="L1391" s="117">
        <v>0</v>
      </c>
      <c r="M1391" s="117">
        <v>0</v>
      </c>
      <c r="N1391" s="117">
        <v>0</v>
      </c>
      <c r="O1391" s="117">
        <v>30000</v>
      </c>
      <c r="P1391" s="117">
        <v>0</v>
      </c>
      <c r="Q1391" s="117">
        <v>0</v>
      </c>
      <c r="R1391" s="117">
        <f>9200</f>
        <v>9200</v>
      </c>
      <c r="S1391" s="117">
        <v>0</v>
      </c>
      <c r="T1391" s="117">
        <v>0</v>
      </c>
      <c r="U1391" s="153">
        <f t="shared" si="452"/>
        <v>0.30666666666666664</v>
      </c>
      <c r="V1391" s="128">
        <f>+I1391+O1265</f>
        <v>30000</v>
      </c>
      <c r="W1391" s="128">
        <f t="shared" si="448"/>
        <v>0</v>
      </c>
      <c r="X1391" s="128">
        <f>+L1391+R1265</f>
        <v>9200</v>
      </c>
      <c r="Y1391" s="128">
        <f t="shared" si="450"/>
        <v>0</v>
      </c>
      <c r="Z1391" s="195">
        <f t="shared" si="453"/>
        <v>0.30666666666666664</v>
      </c>
      <c r="AA1391" s="194">
        <f t="shared" si="451"/>
        <v>0</v>
      </c>
    </row>
    <row r="1392" spans="1:27" s="40" customFormat="1">
      <c r="A1392" s="152"/>
      <c r="B1392" s="274" t="s">
        <v>88</v>
      </c>
      <c r="C1392" s="275"/>
      <c r="D1392" s="275"/>
      <c r="E1392" s="275"/>
      <c r="F1392" s="276"/>
      <c r="G1392" s="277">
        <v>5800</v>
      </c>
      <c r="H1392" s="292"/>
      <c r="I1392" s="142">
        <v>0</v>
      </c>
      <c r="J1392" s="117">
        <v>0</v>
      </c>
      <c r="K1392" s="117">
        <v>0</v>
      </c>
      <c r="L1392" s="117">
        <v>0</v>
      </c>
      <c r="M1392" s="117">
        <v>0</v>
      </c>
      <c r="N1392" s="117">
        <v>0</v>
      </c>
      <c r="O1392" s="117">
        <f>2900+2900</f>
        <v>5800</v>
      </c>
      <c r="P1392" s="117">
        <v>0</v>
      </c>
      <c r="Q1392" s="117">
        <v>0</v>
      </c>
      <c r="R1392" s="117">
        <v>5800</v>
      </c>
      <c r="S1392" s="117">
        <v>0</v>
      </c>
      <c r="T1392" s="117">
        <v>0</v>
      </c>
      <c r="U1392" s="153">
        <f t="shared" si="452"/>
        <v>1</v>
      </c>
      <c r="V1392" s="128">
        <f t="shared" ref="V1392:V1394" si="454">+I1392+O1266</f>
        <v>5800</v>
      </c>
      <c r="W1392" s="128">
        <f t="shared" ref="W1392:W1396" si="455">+O1392-V1392</f>
        <v>0</v>
      </c>
      <c r="X1392" s="128">
        <f t="shared" ref="X1392:X1394" si="456">+L1392+R1266</f>
        <v>5800</v>
      </c>
      <c r="Y1392" s="128">
        <f t="shared" ref="Y1392:Y1396" si="457">+R1392-X1392</f>
        <v>0</v>
      </c>
      <c r="Z1392" s="195">
        <f t="shared" ref="Z1392:Z1396" si="458">+X1392/G1392</f>
        <v>1</v>
      </c>
      <c r="AA1392" s="194">
        <f t="shared" ref="AA1392:AA1409" si="459">+U1392-Z1392</f>
        <v>0</v>
      </c>
    </row>
    <row r="1393" spans="1:27" s="40" customFormat="1">
      <c r="A1393" s="152"/>
      <c r="B1393" s="274" t="s">
        <v>131</v>
      </c>
      <c r="C1393" s="275"/>
      <c r="D1393" s="275"/>
      <c r="E1393" s="275"/>
      <c r="F1393" s="276"/>
      <c r="G1393" s="277">
        <v>40000</v>
      </c>
      <c r="H1393" s="292"/>
      <c r="I1393" s="142">
        <v>8000</v>
      </c>
      <c r="J1393" s="117">
        <v>0</v>
      </c>
      <c r="K1393" s="117">
        <v>0</v>
      </c>
      <c r="L1393" s="117">
        <v>8418.32</v>
      </c>
      <c r="M1393" s="117">
        <v>0</v>
      </c>
      <c r="N1393" s="117">
        <v>0</v>
      </c>
      <c r="O1393" s="117">
        <f>8000+8000+8000+8000+8000</f>
        <v>40000</v>
      </c>
      <c r="P1393" s="117">
        <v>0</v>
      </c>
      <c r="Q1393" s="117">
        <v>0</v>
      </c>
      <c r="R1393" s="117">
        <f>0+0+0+0+0+0+4176+5684+6754.68+6554+8413+8418.32</f>
        <v>40000</v>
      </c>
      <c r="S1393" s="117">
        <v>0</v>
      </c>
      <c r="T1393" s="117">
        <v>0</v>
      </c>
      <c r="U1393" s="153">
        <f t="shared" si="452"/>
        <v>1</v>
      </c>
      <c r="V1393" s="128">
        <f t="shared" si="454"/>
        <v>40000</v>
      </c>
      <c r="W1393" s="128">
        <f t="shared" si="455"/>
        <v>0</v>
      </c>
      <c r="X1393" s="128">
        <f t="shared" si="456"/>
        <v>40000</v>
      </c>
      <c r="Y1393" s="128">
        <f t="shared" si="457"/>
        <v>0</v>
      </c>
      <c r="Z1393" s="195">
        <f t="shared" si="458"/>
        <v>1</v>
      </c>
      <c r="AA1393" s="194">
        <f t="shared" si="459"/>
        <v>0</v>
      </c>
    </row>
    <row r="1394" spans="1:27" s="40" customFormat="1">
      <c r="A1394" s="152"/>
      <c r="B1394" s="274" t="s">
        <v>87</v>
      </c>
      <c r="C1394" s="275"/>
      <c r="D1394" s="275"/>
      <c r="E1394" s="275"/>
      <c r="F1394" s="276"/>
      <c r="G1394" s="277">
        <v>9000</v>
      </c>
      <c r="H1394" s="292"/>
      <c r="I1394" s="142">
        <v>0</v>
      </c>
      <c r="J1394" s="117">
        <v>0</v>
      </c>
      <c r="K1394" s="117">
        <v>0</v>
      </c>
      <c r="L1394" s="117">
        <v>2295.87</v>
      </c>
      <c r="M1394" s="117">
        <v>0</v>
      </c>
      <c r="N1394" s="117">
        <v>0</v>
      </c>
      <c r="O1394" s="117">
        <f>3000+3000+3000</f>
        <v>9000</v>
      </c>
      <c r="P1394" s="117">
        <v>0</v>
      </c>
      <c r="Q1394" s="117">
        <v>0</v>
      </c>
      <c r="R1394" s="117">
        <f>0+0+0+0+0+0+0+3379.08+0+3325.05+2295.87</f>
        <v>9000</v>
      </c>
      <c r="S1394" s="117">
        <v>0</v>
      </c>
      <c r="T1394" s="117">
        <v>0</v>
      </c>
      <c r="U1394" s="153">
        <f t="shared" si="452"/>
        <v>1</v>
      </c>
      <c r="V1394" s="128">
        <f t="shared" si="454"/>
        <v>9000</v>
      </c>
      <c r="W1394" s="128">
        <f t="shared" si="455"/>
        <v>0</v>
      </c>
      <c r="X1394" s="128">
        <f t="shared" si="456"/>
        <v>9000</v>
      </c>
      <c r="Y1394" s="128">
        <f t="shared" si="457"/>
        <v>0</v>
      </c>
      <c r="Z1394" s="195">
        <f t="shared" si="458"/>
        <v>1</v>
      </c>
      <c r="AA1394" s="194">
        <f t="shared" si="459"/>
        <v>0</v>
      </c>
    </row>
    <row r="1395" spans="1:27" s="40" customFormat="1">
      <c r="A1395" s="152"/>
      <c r="B1395" s="274" t="s">
        <v>146</v>
      </c>
      <c r="C1395" s="275"/>
      <c r="D1395" s="275"/>
      <c r="E1395" s="275"/>
      <c r="F1395" s="276"/>
      <c r="G1395" s="277">
        <v>0</v>
      </c>
      <c r="H1395" s="292"/>
      <c r="I1395" s="142">
        <v>0</v>
      </c>
      <c r="J1395" s="117">
        <v>0</v>
      </c>
      <c r="K1395" s="117">
        <v>0</v>
      </c>
      <c r="L1395" s="117">
        <v>540</v>
      </c>
      <c r="M1395" s="117">
        <v>0</v>
      </c>
      <c r="N1395" s="117">
        <v>0</v>
      </c>
      <c r="O1395" s="117">
        <v>0</v>
      </c>
      <c r="P1395" s="117">
        <v>0</v>
      </c>
      <c r="Q1395" s="117">
        <v>0</v>
      </c>
      <c r="R1395" s="117">
        <v>540</v>
      </c>
      <c r="S1395" s="117">
        <v>0</v>
      </c>
      <c r="T1395" s="117">
        <v>0</v>
      </c>
      <c r="U1395" s="153">
        <f>R1395/L1395</f>
        <v>1</v>
      </c>
      <c r="V1395" s="128">
        <f>+G1395</f>
        <v>0</v>
      </c>
      <c r="W1395" s="128">
        <f t="shared" si="455"/>
        <v>0</v>
      </c>
      <c r="X1395" s="128">
        <f>+R1395</f>
        <v>540</v>
      </c>
      <c r="Y1395" s="128">
        <f t="shared" si="457"/>
        <v>0</v>
      </c>
      <c r="Z1395" s="195">
        <v>1</v>
      </c>
      <c r="AA1395" s="194">
        <f t="shared" si="459"/>
        <v>0</v>
      </c>
    </row>
    <row r="1396" spans="1:27" s="40" customFormat="1">
      <c r="A1396" s="152"/>
      <c r="B1396" s="274" t="s">
        <v>89</v>
      </c>
      <c r="C1396" s="275"/>
      <c r="D1396" s="275"/>
      <c r="E1396" s="275"/>
      <c r="F1396" s="276"/>
      <c r="G1396" s="277">
        <v>8000</v>
      </c>
      <c r="H1396" s="292"/>
      <c r="I1396" s="142">
        <v>0</v>
      </c>
      <c r="J1396" s="117">
        <v>0</v>
      </c>
      <c r="K1396" s="117">
        <v>0</v>
      </c>
      <c r="L1396" s="117">
        <v>0</v>
      </c>
      <c r="M1396" s="117">
        <v>0</v>
      </c>
      <c r="N1396" s="117">
        <v>0</v>
      </c>
      <c r="O1396" s="117">
        <v>8000</v>
      </c>
      <c r="P1396" s="117">
        <v>0</v>
      </c>
      <c r="Q1396" s="117">
        <v>0</v>
      </c>
      <c r="R1396" s="117">
        <f>0+0+0+0+0+0+0+0+0+3506</f>
        <v>3506</v>
      </c>
      <c r="S1396" s="117">
        <v>0</v>
      </c>
      <c r="T1396" s="117">
        <v>0</v>
      </c>
      <c r="U1396" s="153">
        <f t="shared" si="452"/>
        <v>0.43824999999999997</v>
      </c>
      <c r="V1396" s="128">
        <f>+I1396+O1269</f>
        <v>8000</v>
      </c>
      <c r="W1396" s="128">
        <f t="shared" si="455"/>
        <v>0</v>
      </c>
      <c r="X1396" s="128">
        <f>+L1396+R1269</f>
        <v>3506</v>
      </c>
      <c r="Y1396" s="128">
        <f t="shared" si="457"/>
        <v>0</v>
      </c>
      <c r="Z1396" s="195">
        <f t="shared" si="458"/>
        <v>0.43824999999999997</v>
      </c>
      <c r="AA1396" s="194">
        <f t="shared" si="459"/>
        <v>0</v>
      </c>
    </row>
    <row r="1397" spans="1:27" s="40" customFormat="1" ht="15" customHeight="1">
      <c r="A1397" s="152"/>
      <c r="B1397" s="299" t="s">
        <v>140</v>
      </c>
      <c r="C1397" s="300"/>
      <c r="D1397" s="300"/>
      <c r="E1397" s="300"/>
      <c r="F1397" s="301"/>
      <c r="G1397" s="277">
        <v>0</v>
      </c>
      <c r="H1397" s="292"/>
      <c r="I1397" s="142">
        <v>0</v>
      </c>
      <c r="J1397" s="117">
        <v>0</v>
      </c>
      <c r="K1397" s="117">
        <v>0</v>
      </c>
      <c r="L1397" s="117">
        <v>0</v>
      </c>
      <c r="M1397" s="117">
        <v>0</v>
      </c>
      <c r="N1397" s="117">
        <v>0</v>
      </c>
      <c r="O1397" s="117">
        <v>0</v>
      </c>
      <c r="P1397" s="117">
        <v>0</v>
      </c>
      <c r="Q1397" s="117">
        <v>0</v>
      </c>
      <c r="R1397" s="117">
        <v>22245.599999999999</v>
      </c>
      <c r="S1397" s="117">
        <v>0</v>
      </c>
      <c r="T1397" s="117">
        <v>0</v>
      </c>
      <c r="U1397" s="153">
        <f>R1397/R1397</f>
        <v>1</v>
      </c>
      <c r="V1397" s="128">
        <f t="shared" ref="V1397:V1409" si="460">+I1397+O1270</f>
        <v>0</v>
      </c>
      <c r="W1397" s="128">
        <f t="shared" ref="W1397:W1409" si="461">+O1397-V1397</f>
        <v>0</v>
      </c>
      <c r="X1397" s="128">
        <f t="shared" ref="X1397:X1409" si="462">+L1397+R1270</f>
        <v>22245.599999999999</v>
      </c>
      <c r="Y1397" s="128">
        <f t="shared" ref="Y1397:Y1409" si="463">+R1397-X1397</f>
        <v>0</v>
      </c>
      <c r="Z1397" s="195">
        <v>1</v>
      </c>
      <c r="AA1397" s="194">
        <f t="shared" si="459"/>
        <v>0</v>
      </c>
    </row>
    <row r="1398" spans="1:27" s="40" customFormat="1">
      <c r="A1398" s="152"/>
      <c r="B1398" s="274" t="s">
        <v>90</v>
      </c>
      <c r="C1398" s="275"/>
      <c r="D1398" s="275"/>
      <c r="E1398" s="275"/>
      <c r="F1398" s="276"/>
      <c r="G1398" s="277">
        <v>9000</v>
      </c>
      <c r="H1398" s="292"/>
      <c r="I1398" s="142">
        <v>0</v>
      </c>
      <c r="J1398" s="117">
        <v>0</v>
      </c>
      <c r="K1398" s="117">
        <v>0</v>
      </c>
      <c r="L1398" s="117">
        <v>1170.3800000000001</v>
      </c>
      <c r="M1398" s="117">
        <v>0</v>
      </c>
      <c r="N1398" s="117">
        <v>0</v>
      </c>
      <c r="O1398" s="117">
        <f>3000+3000+3000</f>
        <v>9000</v>
      </c>
      <c r="P1398" s="117">
        <v>0</v>
      </c>
      <c r="Q1398" s="117">
        <v>0</v>
      </c>
      <c r="R1398" s="117">
        <f>0+0+0+0+0+0+0+0+4617.12+3212.5+1170.38</f>
        <v>9000</v>
      </c>
      <c r="S1398" s="117">
        <v>0</v>
      </c>
      <c r="T1398" s="117">
        <v>0</v>
      </c>
      <c r="U1398" s="153">
        <f t="shared" si="452"/>
        <v>1</v>
      </c>
      <c r="V1398" s="128">
        <f t="shared" si="460"/>
        <v>9000</v>
      </c>
      <c r="W1398" s="128">
        <f t="shared" si="461"/>
        <v>0</v>
      </c>
      <c r="X1398" s="128">
        <f t="shared" si="462"/>
        <v>9000</v>
      </c>
      <c r="Y1398" s="128">
        <f t="shared" si="463"/>
        <v>0</v>
      </c>
      <c r="Z1398" s="195">
        <f t="shared" ref="Z1398:Z1409" si="464">+X1398/G1398</f>
        <v>1</v>
      </c>
      <c r="AA1398" s="194">
        <f t="shared" si="459"/>
        <v>0</v>
      </c>
    </row>
    <row r="1399" spans="1:27" s="40" customFormat="1">
      <c r="A1399" s="152"/>
      <c r="B1399" s="274" t="s">
        <v>64</v>
      </c>
      <c r="C1399" s="275"/>
      <c r="D1399" s="275"/>
      <c r="E1399" s="275"/>
      <c r="F1399" s="276"/>
      <c r="G1399" s="277">
        <v>3750</v>
      </c>
      <c r="H1399" s="292"/>
      <c r="I1399" s="142">
        <v>0</v>
      </c>
      <c r="J1399" s="117">
        <v>0</v>
      </c>
      <c r="K1399" s="117">
        <v>0</v>
      </c>
      <c r="L1399" s="117">
        <v>122</v>
      </c>
      <c r="M1399" s="117">
        <v>0</v>
      </c>
      <c r="N1399" s="117">
        <v>0</v>
      </c>
      <c r="O1399" s="117">
        <v>3750</v>
      </c>
      <c r="P1399" s="117">
        <v>0</v>
      </c>
      <c r="Q1399" s="117">
        <v>0</v>
      </c>
      <c r="R1399" s="117">
        <f>622+200+184+622+122</f>
        <v>1750</v>
      </c>
      <c r="S1399" s="117">
        <v>0</v>
      </c>
      <c r="T1399" s="117">
        <v>0</v>
      </c>
      <c r="U1399" s="153">
        <f t="shared" si="452"/>
        <v>0.46666666666666667</v>
      </c>
      <c r="V1399" s="128">
        <f t="shared" si="460"/>
        <v>3750</v>
      </c>
      <c r="W1399" s="128">
        <f t="shared" si="461"/>
        <v>0</v>
      </c>
      <c r="X1399" s="128">
        <f t="shared" si="462"/>
        <v>1750</v>
      </c>
      <c r="Y1399" s="128">
        <f t="shared" si="463"/>
        <v>0</v>
      </c>
      <c r="Z1399" s="195">
        <f t="shared" si="464"/>
        <v>0.46666666666666667</v>
      </c>
      <c r="AA1399" s="194">
        <f t="shared" si="459"/>
        <v>0</v>
      </c>
    </row>
    <row r="1400" spans="1:27" s="40" customFormat="1">
      <c r="A1400" s="152"/>
      <c r="B1400" s="299" t="s">
        <v>144</v>
      </c>
      <c r="C1400" s="300"/>
      <c r="D1400" s="300"/>
      <c r="E1400" s="300"/>
      <c r="F1400" s="301"/>
      <c r="G1400" s="277">
        <v>0</v>
      </c>
      <c r="H1400" s="292"/>
      <c r="I1400" s="142">
        <v>0</v>
      </c>
      <c r="J1400" s="117">
        <v>0</v>
      </c>
      <c r="K1400" s="117">
        <v>0</v>
      </c>
      <c r="L1400" s="117">
        <v>0</v>
      </c>
      <c r="M1400" s="117">
        <v>0</v>
      </c>
      <c r="N1400" s="117">
        <v>0</v>
      </c>
      <c r="O1400" s="117">
        <v>0</v>
      </c>
      <c r="P1400" s="117">
        <v>0</v>
      </c>
      <c r="Q1400" s="117">
        <v>0</v>
      </c>
      <c r="R1400" s="117">
        <v>1833</v>
      </c>
      <c r="S1400" s="117">
        <v>0</v>
      </c>
      <c r="T1400" s="117">
        <v>0</v>
      </c>
      <c r="U1400" s="153">
        <f t="shared" ref="U1400:U1401" si="465">R1400/R1400</f>
        <v>1</v>
      </c>
      <c r="V1400" s="128">
        <f t="shared" si="460"/>
        <v>0</v>
      </c>
      <c r="W1400" s="128">
        <f t="shared" si="461"/>
        <v>0</v>
      </c>
      <c r="X1400" s="128">
        <f t="shared" si="462"/>
        <v>1833</v>
      </c>
      <c r="Y1400" s="128">
        <f t="shared" si="463"/>
        <v>0</v>
      </c>
      <c r="Z1400" s="195">
        <v>1</v>
      </c>
      <c r="AA1400" s="194">
        <f t="shared" si="459"/>
        <v>0</v>
      </c>
    </row>
    <row r="1401" spans="1:27" s="40" customFormat="1">
      <c r="A1401" s="152"/>
      <c r="B1401" s="299" t="s">
        <v>143</v>
      </c>
      <c r="C1401" s="300"/>
      <c r="D1401" s="300"/>
      <c r="E1401" s="300"/>
      <c r="F1401" s="301"/>
      <c r="G1401" s="277">
        <v>0</v>
      </c>
      <c r="H1401" s="292"/>
      <c r="I1401" s="142">
        <v>0</v>
      </c>
      <c r="J1401" s="117">
        <v>0</v>
      </c>
      <c r="K1401" s="117">
        <v>0</v>
      </c>
      <c r="L1401" s="117">
        <v>0</v>
      </c>
      <c r="M1401" s="117">
        <v>0</v>
      </c>
      <c r="N1401" s="117">
        <v>0</v>
      </c>
      <c r="O1401" s="117">
        <v>0</v>
      </c>
      <c r="P1401" s="117">
        <v>0</v>
      </c>
      <c r="Q1401" s="117">
        <v>0</v>
      </c>
      <c r="R1401" s="117">
        <v>34720</v>
      </c>
      <c r="S1401" s="117">
        <v>0</v>
      </c>
      <c r="T1401" s="117">
        <v>0</v>
      </c>
      <c r="U1401" s="153">
        <f t="shared" si="465"/>
        <v>1</v>
      </c>
      <c r="V1401" s="128">
        <f t="shared" si="460"/>
        <v>0</v>
      </c>
      <c r="W1401" s="128">
        <f t="shared" si="461"/>
        <v>0</v>
      </c>
      <c r="X1401" s="128">
        <f t="shared" si="462"/>
        <v>34720</v>
      </c>
      <c r="Y1401" s="128">
        <f t="shared" si="463"/>
        <v>0</v>
      </c>
      <c r="Z1401" s="195">
        <v>1</v>
      </c>
      <c r="AA1401" s="194">
        <f t="shared" si="459"/>
        <v>0</v>
      </c>
    </row>
    <row r="1402" spans="1:27" s="40" customFormat="1">
      <c r="A1402" s="152"/>
      <c r="B1402" s="274" t="s">
        <v>91</v>
      </c>
      <c r="C1402" s="275"/>
      <c r="D1402" s="275"/>
      <c r="E1402" s="275"/>
      <c r="F1402" s="276"/>
      <c r="G1402" s="277">
        <v>6000</v>
      </c>
      <c r="H1402" s="292"/>
      <c r="I1402" s="142">
        <v>0</v>
      </c>
      <c r="J1402" s="117">
        <v>0</v>
      </c>
      <c r="K1402" s="117">
        <v>0</v>
      </c>
      <c r="L1402" s="117">
        <v>0</v>
      </c>
      <c r="M1402" s="117">
        <v>0</v>
      </c>
      <c r="N1402" s="117">
        <v>0</v>
      </c>
      <c r="O1402" s="117">
        <v>6000</v>
      </c>
      <c r="P1402" s="117">
        <v>0</v>
      </c>
      <c r="Q1402" s="117">
        <v>0</v>
      </c>
      <c r="R1402" s="117">
        <f>0+0+0+0+0+0+0+0+0+5300</f>
        <v>5300</v>
      </c>
      <c r="S1402" s="117">
        <v>0</v>
      </c>
      <c r="T1402" s="117">
        <v>0</v>
      </c>
      <c r="U1402" s="153">
        <f t="shared" si="452"/>
        <v>0.8833333333333333</v>
      </c>
      <c r="V1402" s="128">
        <f t="shared" si="460"/>
        <v>6000</v>
      </c>
      <c r="W1402" s="128">
        <f t="shared" si="461"/>
        <v>0</v>
      </c>
      <c r="X1402" s="128">
        <f t="shared" si="462"/>
        <v>5300</v>
      </c>
      <c r="Y1402" s="128">
        <f t="shared" si="463"/>
        <v>0</v>
      </c>
      <c r="Z1402" s="195">
        <f t="shared" si="464"/>
        <v>0.8833333333333333</v>
      </c>
      <c r="AA1402" s="194">
        <f t="shared" si="459"/>
        <v>0</v>
      </c>
    </row>
    <row r="1403" spans="1:27" s="40" customFormat="1">
      <c r="A1403" s="152"/>
      <c r="B1403" s="274" t="s">
        <v>81</v>
      </c>
      <c r="C1403" s="275"/>
      <c r="D1403" s="275"/>
      <c r="E1403" s="275"/>
      <c r="F1403" s="276"/>
      <c r="G1403" s="277">
        <v>195000</v>
      </c>
      <c r="H1403" s="292"/>
      <c r="I1403" s="142">
        <v>13000</v>
      </c>
      <c r="J1403" s="117">
        <v>0</v>
      </c>
      <c r="K1403" s="117">
        <v>0</v>
      </c>
      <c r="L1403" s="117">
        <v>17682.689999999999</v>
      </c>
      <c r="M1403" s="117">
        <v>0</v>
      </c>
      <c r="N1403" s="117">
        <v>0</v>
      </c>
      <c r="O1403" s="117">
        <f>26000+26000+26000+13000+13000+13000+13000+13000+13000+13000+13000+13000</f>
        <v>195000</v>
      </c>
      <c r="P1403" s="117">
        <v>0</v>
      </c>
      <c r="Q1403" s="117">
        <v>0</v>
      </c>
      <c r="R1403" s="117">
        <f>23416.71+27887.03+23419.61+15279.25+11463.61+13780.18+9596.71+15708.75+11521.67+13803.49+11440.3+17682.69</f>
        <v>195000</v>
      </c>
      <c r="S1403" s="117">
        <v>0</v>
      </c>
      <c r="T1403" s="117">
        <v>0</v>
      </c>
      <c r="U1403" s="153">
        <f t="shared" si="452"/>
        <v>1</v>
      </c>
      <c r="V1403" s="128">
        <f t="shared" si="460"/>
        <v>195000</v>
      </c>
      <c r="W1403" s="128">
        <f t="shared" si="461"/>
        <v>0</v>
      </c>
      <c r="X1403" s="128">
        <f t="shared" si="462"/>
        <v>195000</v>
      </c>
      <c r="Y1403" s="128">
        <f t="shared" si="463"/>
        <v>0</v>
      </c>
      <c r="Z1403" s="195">
        <f t="shared" si="464"/>
        <v>1</v>
      </c>
      <c r="AA1403" s="194">
        <f t="shared" si="459"/>
        <v>0</v>
      </c>
    </row>
    <row r="1404" spans="1:27" s="40" customFormat="1" ht="15" customHeight="1">
      <c r="A1404" s="152"/>
      <c r="B1404" s="274" t="s">
        <v>132</v>
      </c>
      <c r="C1404" s="275"/>
      <c r="D1404" s="275"/>
      <c r="E1404" s="275"/>
      <c r="F1404" s="276"/>
      <c r="G1404" s="277">
        <v>1900</v>
      </c>
      <c r="H1404" s="292"/>
      <c r="I1404" s="142">
        <v>0</v>
      </c>
      <c r="J1404" s="117">
        <v>0</v>
      </c>
      <c r="K1404" s="117">
        <v>0</v>
      </c>
      <c r="L1404" s="117">
        <v>0</v>
      </c>
      <c r="M1404" s="117">
        <v>0</v>
      </c>
      <c r="N1404" s="117">
        <v>0</v>
      </c>
      <c r="O1404" s="117">
        <v>1900</v>
      </c>
      <c r="P1404" s="117">
        <v>0</v>
      </c>
      <c r="Q1404" s="117">
        <v>0</v>
      </c>
      <c r="R1404" s="117">
        <f>0+1893.11</f>
        <v>1893.11</v>
      </c>
      <c r="S1404" s="117">
        <v>0</v>
      </c>
      <c r="T1404" s="117">
        <v>0</v>
      </c>
      <c r="U1404" s="153">
        <f>R1404/G1404</f>
        <v>0.9963736842105263</v>
      </c>
      <c r="V1404" s="128">
        <f t="shared" si="460"/>
        <v>1900</v>
      </c>
      <c r="W1404" s="128">
        <f t="shared" si="461"/>
        <v>0</v>
      </c>
      <c r="X1404" s="128">
        <f t="shared" si="462"/>
        <v>1893.11</v>
      </c>
      <c r="Y1404" s="128">
        <f t="shared" si="463"/>
        <v>0</v>
      </c>
      <c r="Z1404" s="195">
        <f t="shared" si="464"/>
        <v>0.9963736842105263</v>
      </c>
      <c r="AA1404" s="194">
        <f t="shared" si="459"/>
        <v>0</v>
      </c>
    </row>
    <row r="1405" spans="1:27" s="40" customFormat="1" ht="15" customHeight="1">
      <c r="A1405" s="152"/>
      <c r="B1405" s="274" t="s">
        <v>133</v>
      </c>
      <c r="C1405" s="275"/>
      <c r="D1405" s="275"/>
      <c r="E1405" s="275"/>
      <c r="F1405" s="276"/>
      <c r="G1405" s="277">
        <v>20000</v>
      </c>
      <c r="H1405" s="292"/>
      <c r="I1405" s="142">
        <v>0</v>
      </c>
      <c r="J1405" s="116">
        <v>0</v>
      </c>
      <c r="K1405" s="116">
        <v>0</v>
      </c>
      <c r="L1405" s="116">
        <v>0</v>
      </c>
      <c r="M1405" s="116">
        <v>0</v>
      </c>
      <c r="N1405" s="116">
        <v>0</v>
      </c>
      <c r="O1405" s="116">
        <v>20000</v>
      </c>
      <c r="P1405" s="116">
        <v>0</v>
      </c>
      <c r="Q1405" s="116">
        <v>0</v>
      </c>
      <c r="R1405" s="116">
        <v>17456</v>
      </c>
      <c r="S1405" s="116">
        <v>0</v>
      </c>
      <c r="T1405" s="116">
        <v>0</v>
      </c>
      <c r="U1405" s="156">
        <f>R1405/G1405</f>
        <v>0.87280000000000002</v>
      </c>
      <c r="V1405" s="128">
        <f t="shared" si="460"/>
        <v>20000</v>
      </c>
      <c r="W1405" s="128">
        <f t="shared" si="461"/>
        <v>0</v>
      </c>
      <c r="X1405" s="128">
        <f t="shared" si="462"/>
        <v>17456</v>
      </c>
      <c r="Y1405" s="128">
        <f t="shared" si="463"/>
        <v>0</v>
      </c>
      <c r="Z1405" s="195">
        <f t="shared" si="464"/>
        <v>0.87280000000000002</v>
      </c>
      <c r="AA1405" s="194">
        <f t="shared" si="459"/>
        <v>0</v>
      </c>
    </row>
    <row r="1406" spans="1:27" s="40" customFormat="1" ht="15" customHeight="1">
      <c r="A1406" s="152"/>
      <c r="B1406" s="274" t="s">
        <v>134</v>
      </c>
      <c r="C1406" s="275"/>
      <c r="D1406" s="275"/>
      <c r="E1406" s="275"/>
      <c r="F1406" s="276"/>
      <c r="G1406" s="277">
        <v>7200</v>
      </c>
      <c r="H1406" s="292"/>
      <c r="I1406" s="142">
        <v>0</v>
      </c>
      <c r="J1406" s="116">
        <v>0</v>
      </c>
      <c r="K1406" s="116">
        <v>0</v>
      </c>
      <c r="L1406" s="116">
        <v>0</v>
      </c>
      <c r="M1406" s="116">
        <v>0</v>
      </c>
      <c r="N1406" s="116">
        <v>0</v>
      </c>
      <c r="O1406" s="116">
        <f>7200</f>
        <v>7200</v>
      </c>
      <c r="P1406" s="116">
        <v>0</v>
      </c>
      <c r="Q1406" s="116">
        <v>0</v>
      </c>
      <c r="R1406" s="116">
        <f>7200</f>
        <v>7200</v>
      </c>
      <c r="S1406" s="116">
        <v>0</v>
      </c>
      <c r="T1406" s="116">
        <v>0</v>
      </c>
      <c r="U1406" s="156">
        <f>R1406/G1406</f>
        <v>1</v>
      </c>
      <c r="V1406" s="128">
        <f t="shared" si="460"/>
        <v>7200</v>
      </c>
      <c r="W1406" s="128">
        <f t="shared" si="461"/>
        <v>0</v>
      </c>
      <c r="X1406" s="128">
        <f t="shared" si="462"/>
        <v>7200</v>
      </c>
      <c r="Y1406" s="128">
        <f t="shared" si="463"/>
        <v>0</v>
      </c>
      <c r="Z1406" s="195">
        <f t="shared" si="464"/>
        <v>1</v>
      </c>
      <c r="AA1406" s="194">
        <f t="shared" si="459"/>
        <v>0</v>
      </c>
    </row>
    <row r="1407" spans="1:27" s="40" customFormat="1" ht="15" customHeight="1">
      <c r="A1407" s="152"/>
      <c r="B1407" s="274" t="s">
        <v>79</v>
      </c>
      <c r="C1407" s="275"/>
      <c r="D1407" s="275"/>
      <c r="E1407" s="275"/>
      <c r="F1407" s="276"/>
      <c r="G1407" s="277">
        <v>37500</v>
      </c>
      <c r="H1407" s="292"/>
      <c r="I1407" s="142">
        <v>0</v>
      </c>
      <c r="J1407" s="116">
        <v>0</v>
      </c>
      <c r="K1407" s="116">
        <v>0</v>
      </c>
      <c r="L1407" s="116">
        <v>0</v>
      </c>
      <c r="M1407" s="116">
        <v>0</v>
      </c>
      <c r="N1407" s="116">
        <v>0</v>
      </c>
      <c r="O1407" s="116">
        <v>37500</v>
      </c>
      <c r="P1407" s="116">
        <v>0</v>
      </c>
      <c r="Q1407" s="116">
        <v>0</v>
      </c>
      <c r="R1407" s="116">
        <f>0+0+0+0+0+0+0+37500</f>
        <v>37500</v>
      </c>
      <c r="S1407" s="116">
        <v>0</v>
      </c>
      <c r="T1407" s="116">
        <v>0</v>
      </c>
      <c r="U1407" s="156">
        <f t="shared" ref="U1407:U1408" si="466">R1407/G1407</f>
        <v>1</v>
      </c>
      <c r="V1407" s="128">
        <f t="shared" si="460"/>
        <v>37500</v>
      </c>
      <c r="W1407" s="128">
        <f t="shared" si="461"/>
        <v>0</v>
      </c>
      <c r="X1407" s="128">
        <f t="shared" si="462"/>
        <v>37500</v>
      </c>
      <c r="Y1407" s="128">
        <f t="shared" si="463"/>
        <v>0</v>
      </c>
      <c r="Z1407" s="195">
        <f t="shared" si="464"/>
        <v>1</v>
      </c>
      <c r="AA1407" s="194">
        <f t="shared" si="459"/>
        <v>0</v>
      </c>
    </row>
    <row r="1408" spans="1:27" s="40" customFormat="1" ht="15" customHeight="1">
      <c r="A1408" s="152"/>
      <c r="B1408" s="274" t="s">
        <v>92</v>
      </c>
      <c r="C1408" s="275"/>
      <c r="D1408" s="275"/>
      <c r="E1408" s="275"/>
      <c r="F1408" s="276"/>
      <c r="G1408" s="277">
        <v>39600</v>
      </c>
      <c r="H1408" s="292"/>
      <c r="I1408" s="142">
        <v>0</v>
      </c>
      <c r="J1408" s="116">
        <v>0</v>
      </c>
      <c r="K1408" s="116">
        <v>0</v>
      </c>
      <c r="L1408" s="116">
        <v>0</v>
      </c>
      <c r="M1408" s="116">
        <v>0</v>
      </c>
      <c r="N1408" s="116">
        <v>0</v>
      </c>
      <c r="O1408" s="116">
        <v>39600</v>
      </c>
      <c r="P1408" s="116">
        <v>0</v>
      </c>
      <c r="Q1408" s="116">
        <v>0</v>
      </c>
      <c r="R1408" s="116">
        <v>14500</v>
      </c>
      <c r="S1408" s="116">
        <v>0</v>
      </c>
      <c r="T1408" s="116">
        <v>0</v>
      </c>
      <c r="U1408" s="156">
        <f t="shared" si="466"/>
        <v>0.36616161616161619</v>
      </c>
      <c r="V1408" s="128">
        <f t="shared" si="460"/>
        <v>39600</v>
      </c>
      <c r="W1408" s="128">
        <f t="shared" si="461"/>
        <v>0</v>
      </c>
      <c r="X1408" s="128">
        <f t="shared" si="462"/>
        <v>14500</v>
      </c>
      <c r="Y1408" s="128">
        <f t="shared" si="463"/>
        <v>0</v>
      </c>
      <c r="Z1408" s="195">
        <f t="shared" si="464"/>
        <v>0.36616161616161619</v>
      </c>
      <c r="AA1408" s="194">
        <f t="shared" si="459"/>
        <v>0</v>
      </c>
    </row>
    <row r="1409" spans="1:27" s="40" customFormat="1">
      <c r="A1409" s="152"/>
      <c r="B1409" s="274" t="s">
        <v>65</v>
      </c>
      <c r="C1409" s="275"/>
      <c r="D1409" s="275"/>
      <c r="E1409" s="275"/>
      <c r="F1409" s="276"/>
      <c r="G1409" s="277">
        <v>23750</v>
      </c>
      <c r="H1409" s="292"/>
      <c r="I1409" s="142">
        <v>0</v>
      </c>
      <c r="J1409" s="116">
        <v>0</v>
      </c>
      <c r="K1409" s="116">
        <v>0</v>
      </c>
      <c r="L1409" s="116">
        <v>0</v>
      </c>
      <c r="M1409" s="116">
        <v>0</v>
      </c>
      <c r="N1409" s="116">
        <v>0</v>
      </c>
      <c r="O1409" s="116">
        <v>23750</v>
      </c>
      <c r="P1409" s="116">
        <v>0</v>
      </c>
      <c r="Q1409" s="116">
        <v>0</v>
      </c>
      <c r="R1409" s="116">
        <f>2126.81+1754.81+410+3125</f>
        <v>7416.62</v>
      </c>
      <c r="S1409" s="116">
        <v>0</v>
      </c>
      <c r="T1409" s="116">
        <v>0</v>
      </c>
      <c r="U1409" s="156">
        <f>R1409/G1409</f>
        <v>0.31227873684210528</v>
      </c>
      <c r="V1409" s="128">
        <f t="shared" si="460"/>
        <v>23750</v>
      </c>
      <c r="W1409" s="128">
        <f t="shared" si="461"/>
        <v>0</v>
      </c>
      <c r="X1409" s="128">
        <f t="shared" si="462"/>
        <v>7416.62</v>
      </c>
      <c r="Y1409" s="128">
        <f t="shared" si="463"/>
        <v>0</v>
      </c>
      <c r="Z1409" s="195">
        <f t="shared" si="464"/>
        <v>0.31227873684210528</v>
      </c>
      <c r="AA1409" s="194">
        <f t="shared" si="459"/>
        <v>0</v>
      </c>
    </row>
    <row r="1410" spans="1:27" s="40" customFormat="1" ht="15.75" thickBot="1">
      <c r="A1410" s="152"/>
      <c r="B1410" s="293"/>
      <c r="C1410" s="294"/>
      <c r="D1410" s="294"/>
      <c r="E1410" s="294"/>
      <c r="F1410" s="295"/>
      <c r="G1410" s="282"/>
      <c r="H1410" s="296"/>
      <c r="I1410" s="142"/>
      <c r="J1410" s="116"/>
      <c r="K1410" s="116"/>
      <c r="L1410" s="116"/>
      <c r="M1410" s="116"/>
      <c r="N1410" s="116"/>
      <c r="O1410" s="116"/>
      <c r="P1410" s="116"/>
      <c r="Q1410" s="116"/>
      <c r="R1410" s="116"/>
      <c r="S1410" s="116"/>
      <c r="T1410" s="116"/>
      <c r="U1410" s="176"/>
    </row>
    <row r="1411" spans="1:27" ht="15.75" thickBot="1">
      <c r="A1411" s="23"/>
      <c r="B1411" s="257" t="s">
        <v>21</v>
      </c>
      <c r="C1411" s="258"/>
      <c r="D1411" s="258"/>
      <c r="E1411" s="258"/>
      <c r="F1411" s="259"/>
      <c r="G1411" s="260">
        <f>SUM(G1382:H1410)</f>
        <v>675408</v>
      </c>
      <c r="H1411" s="261"/>
      <c r="I1411" s="29">
        <f>SUM(I1382:I1410)</f>
        <v>50500</v>
      </c>
      <c r="J1411" s="29"/>
      <c r="K1411" s="29"/>
      <c r="L1411" s="29">
        <f>SUM(L1382:L1410)</f>
        <v>54957.33</v>
      </c>
      <c r="M1411" s="29"/>
      <c r="N1411" s="29"/>
      <c r="O1411" s="29">
        <f>SUM(O1382:O1410)</f>
        <v>675408</v>
      </c>
      <c r="P1411" s="29"/>
      <c r="Q1411" s="29"/>
      <c r="R1411" s="29">
        <f>SUM(R1382:R1410)</f>
        <v>676206.62999999989</v>
      </c>
      <c r="S1411" s="29"/>
      <c r="T1411" s="30"/>
      <c r="U1411" s="78">
        <f>R1411/G1411</f>
        <v>1.0011824408357612</v>
      </c>
      <c r="V1411" s="128">
        <f t="shared" ref="V1411" si="467">+I1411+O1284</f>
        <v>675408</v>
      </c>
      <c r="W1411" s="128">
        <f t="shared" ref="W1411" si="468">+O1411-V1411</f>
        <v>0</v>
      </c>
      <c r="X1411" s="128">
        <f t="shared" ref="X1411" si="469">+L1411+R1284</f>
        <v>676206.63</v>
      </c>
      <c r="Y1411" s="128">
        <f t="shared" ref="Y1411" si="470">+R1411-X1411</f>
        <v>0</v>
      </c>
      <c r="Z1411" s="195">
        <f t="shared" ref="Z1411" si="471">+X1411/G1411</f>
        <v>1.0011824408357615</v>
      </c>
    </row>
    <row r="1412" spans="1:27" ht="15.75" thickBot="1">
      <c r="A1412" s="23"/>
      <c r="B1412" s="297"/>
      <c r="C1412" s="297"/>
      <c r="D1412" s="297"/>
      <c r="E1412" s="297"/>
      <c r="F1412" s="297"/>
      <c r="G1412" s="298"/>
      <c r="H1412" s="298"/>
      <c r="I1412" s="180"/>
      <c r="J1412" s="180"/>
      <c r="K1412" s="180"/>
      <c r="L1412" s="180"/>
      <c r="M1412" s="180"/>
      <c r="N1412" s="180"/>
      <c r="O1412" s="180"/>
      <c r="P1412" s="180"/>
      <c r="Q1412" s="180"/>
      <c r="R1412" s="180"/>
      <c r="S1412" s="180"/>
      <c r="T1412" s="180"/>
      <c r="U1412" s="72"/>
    </row>
    <row r="1413" spans="1:27" ht="15.75" thickBot="1">
      <c r="A1413" s="23"/>
      <c r="B1413" s="284" t="s">
        <v>30</v>
      </c>
      <c r="C1413" s="285"/>
      <c r="D1413" s="285"/>
      <c r="E1413" s="285"/>
      <c r="F1413" s="285"/>
      <c r="G1413" s="285"/>
      <c r="H1413" s="285"/>
      <c r="I1413" s="285"/>
      <c r="J1413" s="285"/>
      <c r="K1413" s="285"/>
      <c r="L1413" s="285"/>
      <c r="M1413" s="285"/>
      <c r="N1413" s="285"/>
      <c r="O1413" s="285"/>
      <c r="P1413" s="285"/>
      <c r="Q1413" s="285"/>
      <c r="R1413" s="285"/>
      <c r="S1413" s="285"/>
      <c r="T1413" s="285"/>
      <c r="U1413" s="286"/>
    </row>
    <row r="1414" spans="1:27" s="40" customFormat="1" ht="15" customHeight="1">
      <c r="A1414" s="152"/>
      <c r="B1414" s="287" t="s">
        <v>80</v>
      </c>
      <c r="C1414" s="288"/>
      <c r="D1414" s="288"/>
      <c r="E1414" s="288"/>
      <c r="F1414" s="289"/>
      <c r="G1414" s="290">
        <v>11500</v>
      </c>
      <c r="H1414" s="291"/>
      <c r="I1414" s="161">
        <v>0</v>
      </c>
      <c r="J1414" s="161">
        <v>0</v>
      </c>
      <c r="K1414" s="161">
        <v>0</v>
      </c>
      <c r="L1414" s="161">
        <v>0</v>
      </c>
      <c r="M1414" s="161">
        <v>0</v>
      </c>
      <c r="N1414" s="161">
        <v>0</v>
      </c>
      <c r="O1414" s="161">
        <f>11500+0</f>
        <v>11500</v>
      </c>
      <c r="P1414" s="161">
        <v>0</v>
      </c>
      <c r="Q1414" s="161">
        <v>0</v>
      </c>
      <c r="R1414" s="161">
        <f>3804.87+5883.7+1811.43</f>
        <v>11500</v>
      </c>
      <c r="S1414" s="161">
        <v>0</v>
      </c>
      <c r="T1414" s="141">
        <v>0</v>
      </c>
      <c r="U1414" s="162">
        <f t="shared" ref="U1414:U1421" si="472">R1414/G1414</f>
        <v>1</v>
      </c>
      <c r="V1414" s="128">
        <f t="shared" ref="V1414:V1421" si="473">+I1414+O1287</f>
        <v>11500</v>
      </c>
      <c r="W1414" s="128">
        <f t="shared" ref="W1414:W1421" si="474">+O1414-V1414</f>
        <v>0</v>
      </c>
      <c r="X1414" s="128">
        <f t="shared" ref="X1414:X1421" si="475">+L1414+R1287</f>
        <v>11500</v>
      </c>
      <c r="Y1414" s="128">
        <f t="shared" ref="Y1414:Y1421" si="476">+R1414-X1414</f>
        <v>0</v>
      </c>
      <c r="Z1414" s="195">
        <f t="shared" ref="Z1414:Z1421" si="477">+X1414/G1414</f>
        <v>1</v>
      </c>
      <c r="AA1414" s="194">
        <f t="shared" ref="AA1414:AA1421" si="478">+U1414-Z1414</f>
        <v>0</v>
      </c>
    </row>
    <row r="1415" spans="1:27" s="40" customFormat="1">
      <c r="A1415" s="152"/>
      <c r="B1415" s="274" t="s">
        <v>124</v>
      </c>
      <c r="C1415" s="275"/>
      <c r="D1415" s="275"/>
      <c r="E1415" s="275"/>
      <c r="F1415" s="276"/>
      <c r="G1415" s="277">
        <v>30000</v>
      </c>
      <c r="H1415" s="278"/>
      <c r="I1415" s="116">
        <v>30000</v>
      </c>
      <c r="J1415" s="116">
        <v>0</v>
      </c>
      <c r="K1415" s="116">
        <v>0</v>
      </c>
      <c r="L1415" s="116">
        <v>30000</v>
      </c>
      <c r="M1415" s="116">
        <v>0</v>
      </c>
      <c r="N1415" s="116">
        <v>0</v>
      </c>
      <c r="O1415" s="116">
        <v>30000</v>
      </c>
      <c r="P1415" s="116">
        <v>0</v>
      </c>
      <c r="Q1415" s="116">
        <v>0</v>
      </c>
      <c r="R1415" s="116">
        <v>30000</v>
      </c>
      <c r="S1415" s="116">
        <v>0</v>
      </c>
      <c r="T1415" s="117">
        <v>0</v>
      </c>
      <c r="U1415" s="153">
        <f t="shared" si="472"/>
        <v>1</v>
      </c>
      <c r="V1415" s="128">
        <f t="shared" si="473"/>
        <v>30000</v>
      </c>
      <c r="W1415" s="128">
        <f t="shared" si="474"/>
        <v>0</v>
      </c>
      <c r="X1415" s="128">
        <f t="shared" si="475"/>
        <v>30000</v>
      </c>
      <c r="Y1415" s="128">
        <f t="shared" si="476"/>
        <v>0</v>
      </c>
      <c r="Z1415" s="195">
        <f t="shared" si="477"/>
        <v>1</v>
      </c>
      <c r="AA1415" s="194">
        <f t="shared" si="478"/>
        <v>0</v>
      </c>
    </row>
    <row r="1416" spans="1:27" s="40" customFormat="1">
      <c r="A1416" s="152"/>
      <c r="B1416" s="274" t="s">
        <v>68</v>
      </c>
      <c r="C1416" s="275"/>
      <c r="D1416" s="275"/>
      <c r="E1416" s="275"/>
      <c r="F1416" s="276"/>
      <c r="G1416" s="277">
        <v>12328</v>
      </c>
      <c r="H1416" s="278"/>
      <c r="I1416" s="116">
        <v>0</v>
      </c>
      <c r="J1416" s="116">
        <v>0</v>
      </c>
      <c r="K1416" s="116">
        <v>0</v>
      </c>
      <c r="L1416" s="116">
        <v>0</v>
      </c>
      <c r="M1416" s="116">
        <v>0</v>
      </c>
      <c r="N1416" s="116">
        <v>0</v>
      </c>
      <c r="O1416" s="116">
        <v>12328</v>
      </c>
      <c r="P1416" s="116">
        <v>0</v>
      </c>
      <c r="Q1416" s="116">
        <v>0</v>
      </c>
      <c r="R1416" s="116">
        <v>12328</v>
      </c>
      <c r="S1416" s="116">
        <v>0</v>
      </c>
      <c r="T1416" s="117">
        <v>0</v>
      </c>
      <c r="U1416" s="153">
        <f t="shared" si="472"/>
        <v>1</v>
      </c>
      <c r="V1416" s="128">
        <f t="shared" si="473"/>
        <v>12328</v>
      </c>
      <c r="W1416" s="128">
        <f t="shared" si="474"/>
        <v>0</v>
      </c>
      <c r="X1416" s="128">
        <f t="shared" si="475"/>
        <v>12328</v>
      </c>
      <c r="Y1416" s="128">
        <f t="shared" si="476"/>
        <v>0</v>
      </c>
      <c r="Z1416" s="195">
        <f t="shared" si="477"/>
        <v>1</v>
      </c>
      <c r="AA1416" s="194">
        <f t="shared" si="478"/>
        <v>0</v>
      </c>
    </row>
    <row r="1417" spans="1:27" s="40" customFormat="1" ht="15" customHeight="1">
      <c r="A1417" s="152"/>
      <c r="B1417" s="274" t="s">
        <v>66</v>
      </c>
      <c r="C1417" s="275"/>
      <c r="D1417" s="275"/>
      <c r="E1417" s="275"/>
      <c r="F1417" s="276"/>
      <c r="G1417" s="277">
        <v>16000</v>
      </c>
      <c r="H1417" s="278"/>
      <c r="I1417" s="116">
        <v>0</v>
      </c>
      <c r="J1417" s="116">
        <v>0</v>
      </c>
      <c r="K1417" s="116">
        <v>0</v>
      </c>
      <c r="L1417" s="116">
        <v>0</v>
      </c>
      <c r="M1417" s="116">
        <v>0</v>
      </c>
      <c r="N1417" s="116">
        <v>0</v>
      </c>
      <c r="O1417" s="116">
        <v>16000</v>
      </c>
      <c r="P1417" s="116">
        <v>0</v>
      </c>
      <c r="Q1417" s="116">
        <v>0</v>
      </c>
      <c r="R1417" s="116">
        <f>0+0+0+0+6710.67+9289.33</f>
        <v>16000</v>
      </c>
      <c r="S1417" s="116">
        <v>0</v>
      </c>
      <c r="T1417" s="117">
        <v>0</v>
      </c>
      <c r="U1417" s="153">
        <f t="shared" si="472"/>
        <v>1</v>
      </c>
      <c r="V1417" s="128">
        <f t="shared" si="473"/>
        <v>16000</v>
      </c>
      <c r="W1417" s="128">
        <f t="shared" si="474"/>
        <v>0</v>
      </c>
      <c r="X1417" s="128">
        <f t="shared" si="475"/>
        <v>16000</v>
      </c>
      <c r="Y1417" s="128">
        <f t="shared" si="476"/>
        <v>0</v>
      </c>
      <c r="Z1417" s="195">
        <f t="shared" si="477"/>
        <v>1</v>
      </c>
      <c r="AA1417" s="194">
        <f t="shared" si="478"/>
        <v>0</v>
      </c>
    </row>
    <row r="1418" spans="1:27" s="40" customFormat="1" ht="15" customHeight="1">
      <c r="A1418" s="152"/>
      <c r="B1418" s="274" t="s">
        <v>67</v>
      </c>
      <c r="C1418" s="275"/>
      <c r="D1418" s="275"/>
      <c r="E1418" s="275"/>
      <c r="F1418" s="276"/>
      <c r="G1418" s="277">
        <v>15000</v>
      </c>
      <c r="H1418" s="278"/>
      <c r="I1418" s="116">
        <v>15000</v>
      </c>
      <c r="J1418" s="116">
        <v>0</v>
      </c>
      <c r="K1418" s="116">
        <v>0</v>
      </c>
      <c r="L1418" s="116">
        <v>0</v>
      </c>
      <c r="M1418" s="116">
        <v>0</v>
      </c>
      <c r="N1418" s="116">
        <v>0</v>
      </c>
      <c r="O1418" s="116">
        <v>15000</v>
      </c>
      <c r="P1418" s="116">
        <v>0</v>
      </c>
      <c r="Q1418" s="116">
        <v>0</v>
      </c>
      <c r="R1418" s="116">
        <v>15000</v>
      </c>
      <c r="S1418" s="116">
        <v>0</v>
      </c>
      <c r="T1418" s="117">
        <v>0</v>
      </c>
      <c r="U1418" s="153">
        <f t="shared" si="472"/>
        <v>1</v>
      </c>
      <c r="V1418" s="128">
        <f t="shared" si="473"/>
        <v>15000</v>
      </c>
      <c r="W1418" s="128">
        <f t="shared" si="474"/>
        <v>0</v>
      </c>
      <c r="X1418" s="128">
        <f t="shared" si="475"/>
        <v>15000</v>
      </c>
      <c r="Y1418" s="128">
        <f t="shared" si="476"/>
        <v>0</v>
      </c>
      <c r="Z1418" s="195">
        <f t="shared" si="477"/>
        <v>1</v>
      </c>
      <c r="AA1418" s="194">
        <f t="shared" si="478"/>
        <v>0</v>
      </c>
    </row>
    <row r="1419" spans="1:27" s="40" customFormat="1" ht="15" customHeight="1">
      <c r="A1419" s="152"/>
      <c r="B1419" s="274" t="s">
        <v>93</v>
      </c>
      <c r="C1419" s="275"/>
      <c r="D1419" s="275"/>
      <c r="E1419" s="275"/>
      <c r="F1419" s="276"/>
      <c r="G1419" s="277">
        <v>12000</v>
      </c>
      <c r="H1419" s="278"/>
      <c r="I1419" s="116">
        <v>0</v>
      </c>
      <c r="J1419" s="116">
        <v>0</v>
      </c>
      <c r="K1419" s="116">
        <v>0</v>
      </c>
      <c r="L1419" s="116">
        <v>0</v>
      </c>
      <c r="M1419" s="116">
        <v>0</v>
      </c>
      <c r="N1419" s="116">
        <v>0</v>
      </c>
      <c r="O1419" s="116">
        <f>6000+6000</f>
        <v>12000</v>
      </c>
      <c r="P1419" s="116">
        <v>0</v>
      </c>
      <c r="Q1419" s="116">
        <v>0</v>
      </c>
      <c r="R1419" s="116">
        <v>12000</v>
      </c>
      <c r="S1419" s="116">
        <v>0</v>
      </c>
      <c r="T1419" s="117">
        <v>0</v>
      </c>
      <c r="U1419" s="153">
        <f t="shared" si="472"/>
        <v>1</v>
      </c>
      <c r="V1419" s="128">
        <f t="shared" si="473"/>
        <v>12000</v>
      </c>
      <c r="W1419" s="128">
        <f t="shared" si="474"/>
        <v>0</v>
      </c>
      <c r="X1419" s="128">
        <f t="shared" si="475"/>
        <v>12000</v>
      </c>
      <c r="Y1419" s="128">
        <f t="shared" si="476"/>
        <v>0</v>
      </c>
      <c r="Z1419" s="195">
        <f t="shared" si="477"/>
        <v>1</v>
      </c>
      <c r="AA1419" s="194">
        <f t="shared" si="478"/>
        <v>0</v>
      </c>
    </row>
    <row r="1420" spans="1:27" s="40" customFormat="1" ht="15" customHeight="1">
      <c r="A1420" s="152"/>
      <c r="B1420" s="274" t="s">
        <v>69</v>
      </c>
      <c r="C1420" s="275"/>
      <c r="D1420" s="275"/>
      <c r="E1420" s="275"/>
      <c r="F1420" s="276"/>
      <c r="G1420" s="277">
        <v>4400</v>
      </c>
      <c r="H1420" s="278"/>
      <c r="I1420" s="116">
        <v>0</v>
      </c>
      <c r="J1420" s="116">
        <v>0</v>
      </c>
      <c r="K1420" s="116">
        <v>0</v>
      </c>
      <c r="L1420" s="116">
        <v>0</v>
      </c>
      <c r="M1420" s="116">
        <v>0</v>
      </c>
      <c r="N1420" s="116">
        <v>0</v>
      </c>
      <c r="O1420" s="116">
        <v>4400</v>
      </c>
      <c r="P1420" s="116">
        <v>0</v>
      </c>
      <c r="Q1420" s="116">
        <v>0</v>
      </c>
      <c r="R1420" s="116">
        <f>1952.17+1047.39+601.81</f>
        <v>3601.3700000000003</v>
      </c>
      <c r="S1420" s="116">
        <v>0</v>
      </c>
      <c r="T1420" s="117">
        <v>0</v>
      </c>
      <c r="U1420" s="153">
        <f t="shared" si="472"/>
        <v>0.81849318181818187</v>
      </c>
      <c r="V1420" s="128">
        <f t="shared" si="473"/>
        <v>4400</v>
      </c>
      <c r="W1420" s="128">
        <f t="shared" si="474"/>
        <v>0</v>
      </c>
      <c r="X1420" s="128">
        <f t="shared" si="475"/>
        <v>3601.3700000000003</v>
      </c>
      <c r="Y1420" s="128">
        <f t="shared" si="476"/>
        <v>0</v>
      </c>
      <c r="Z1420" s="195">
        <f t="shared" si="477"/>
        <v>0.81849318181818187</v>
      </c>
      <c r="AA1420" s="194">
        <f t="shared" si="478"/>
        <v>0</v>
      </c>
    </row>
    <row r="1421" spans="1:27" s="40" customFormat="1" ht="15" customHeight="1">
      <c r="A1421" s="152"/>
      <c r="B1421" s="274" t="s">
        <v>94</v>
      </c>
      <c r="C1421" s="275"/>
      <c r="D1421" s="275"/>
      <c r="E1421" s="275"/>
      <c r="F1421" s="276"/>
      <c r="G1421" s="277">
        <v>3200</v>
      </c>
      <c r="H1421" s="278"/>
      <c r="I1421" s="116">
        <v>0</v>
      </c>
      <c r="J1421" s="116">
        <v>0</v>
      </c>
      <c r="K1421" s="116">
        <v>0</v>
      </c>
      <c r="L1421" s="116">
        <v>0</v>
      </c>
      <c r="M1421" s="116">
        <v>0</v>
      </c>
      <c r="N1421" s="116">
        <v>0</v>
      </c>
      <c r="O1421" s="116">
        <f>800+800+800+800</f>
        <v>3200</v>
      </c>
      <c r="P1421" s="116">
        <v>0</v>
      </c>
      <c r="Q1421" s="116">
        <v>0</v>
      </c>
      <c r="R1421" s="116">
        <f>2289+911</f>
        <v>3200</v>
      </c>
      <c r="S1421" s="116">
        <v>0</v>
      </c>
      <c r="T1421" s="117">
        <v>0</v>
      </c>
      <c r="U1421" s="153">
        <f t="shared" si="472"/>
        <v>1</v>
      </c>
      <c r="V1421" s="128">
        <f t="shared" si="473"/>
        <v>3200</v>
      </c>
      <c r="W1421" s="128">
        <f t="shared" si="474"/>
        <v>0</v>
      </c>
      <c r="X1421" s="128">
        <f t="shared" si="475"/>
        <v>3200</v>
      </c>
      <c r="Y1421" s="128">
        <f t="shared" si="476"/>
        <v>0</v>
      </c>
      <c r="Z1421" s="195">
        <f t="shared" si="477"/>
        <v>1</v>
      </c>
      <c r="AA1421" s="194">
        <f t="shared" si="478"/>
        <v>0</v>
      </c>
    </row>
    <row r="1422" spans="1:27" ht="15.75" thickBot="1">
      <c r="A1422" s="23"/>
      <c r="B1422" s="469"/>
      <c r="C1422" s="297"/>
      <c r="D1422" s="297"/>
      <c r="E1422" s="297"/>
      <c r="F1422" s="470"/>
      <c r="G1422" s="456"/>
      <c r="H1422" s="468"/>
      <c r="I1422" s="55"/>
      <c r="J1422" s="55"/>
      <c r="K1422" s="55"/>
      <c r="L1422" s="55"/>
      <c r="M1422" s="55"/>
      <c r="N1422" s="55"/>
      <c r="O1422" s="55"/>
      <c r="P1422" s="55"/>
      <c r="Q1422" s="55"/>
      <c r="R1422" s="55"/>
      <c r="S1422" s="55"/>
      <c r="T1422" s="76"/>
      <c r="U1422" s="77"/>
    </row>
    <row r="1423" spans="1:27" ht="15.75" thickBot="1">
      <c r="A1423" s="23"/>
      <c r="B1423" s="257" t="s">
        <v>21</v>
      </c>
      <c r="C1423" s="258"/>
      <c r="D1423" s="258"/>
      <c r="E1423" s="258"/>
      <c r="F1423" s="259"/>
      <c r="G1423" s="260">
        <f>SUM(G1414:H1422)</f>
        <v>104428</v>
      </c>
      <c r="H1423" s="261"/>
      <c r="I1423" s="29">
        <f>SUM(I1414:I1422)</f>
        <v>45000</v>
      </c>
      <c r="J1423" s="29"/>
      <c r="K1423" s="29"/>
      <c r="L1423" s="29">
        <f>SUM(L1414:L1422)</f>
        <v>30000</v>
      </c>
      <c r="M1423" s="29"/>
      <c r="N1423" s="29"/>
      <c r="O1423" s="29">
        <f>SUM(O1414:O1422)</f>
        <v>104428</v>
      </c>
      <c r="P1423" s="29"/>
      <c r="Q1423" s="29"/>
      <c r="R1423" s="29">
        <f>SUM(R1414:R1422)</f>
        <v>103629.37</v>
      </c>
      <c r="S1423" s="30"/>
      <c r="T1423" s="73"/>
      <c r="U1423" s="71">
        <f t="shared" ref="U1423" si="479">R1423/G1423</f>
        <v>0.9923523384532883</v>
      </c>
      <c r="V1423" s="128">
        <f t="shared" ref="V1423" si="480">+I1423+O1296</f>
        <v>104428</v>
      </c>
      <c r="W1423" s="128">
        <f t="shared" ref="W1423" si="481">+O1423-V1423</f>
        <v>0</v>
      </c>
      <c r="X1423" s="128">
        <f t="shared" ref="X1423" si="482">+L1423+R1296</f>
        <v>103629.37</v>
      </c>
      <c r="Y1423" s="128">
        <f t="shared" ref="Y1423" si="483">+R1423-X1423</f>
        <v>0</v>
      </c>
      <c r="Z1423" s="195">
        <f t="shared" ref="Z1423" si="484">+X1423/G1423</f>
        <v>0.9923523384532883</v>
      </c>
      <c r="AA1423" s="194">
        <f t="shared" ref="AA1423" si="485">+U1423-Z1423</f>
        <v>0</v>
      </c>
    </row>
    <row r="1424" spans="1:27" ht="15.75" thickBot="1">
      <c r="C1424" s="32"/>
      <c r="I1424" s="104">
        <f>SUM(I1411,I1423)</f>
        <v>95500</v>
      </c>
      <c r="J1424" s="130"/>
      <c r="K1424" s="130"/>
      <c r="L1424" s="104">
        <f>SUM(L1411,L1423)</f>
        <v>84957.33</v>
      </c>
      <c r="M1424" s="130"/>
      <c r="N1424" s="131"/>
      <c r="O1424" s="104">
        <f>SUM(O1411,O1423)</f>
        <v>779836</v>
      </c>
      <c r="P1424" s="130"/>
      <c r="Q1424" s="130"/>
      <c r="R1424" s="104">
        <f>SUM(R1411,R1423)</f>
        <v>779835.99999999988</v>
      </c>
      <c r="U1424" s="33"/>
    </row>
    <row r="1425" spans="1:22" ht="15.75" thickBot="1">
      <c r="B1425" s="262" t="s">
        <v>31</v>
      </c>
      <c r="C1425" s="263"/>
      <c r="D1425" s="263"/>
      <c r="E1425" s="263"/>
      <c r="F1425" s="263"/>
      <c r="G1425" s="263"/>
      <c r="H1425" s="263"/>
      <c r="I1425" s="263"/>
      <c r="J1425" s="263"/>
      <c r="K1425" s="263"/>
      <c r="L1425" s="263"/>
      <c r="M1425" s="263"/>
      <c r="N1425" s="263"/>
      <c r="O1425" s="263"/>
      <c r="P1425" s="263"/>
      <c r="Q1425" s="263"/>
      <c r="R1425" s="263"/>
      <c r="S1425" s="263"/>
      <c r="T1425" s="263"/>
      <c r="U1425" s="263"/>
      <c r="V1425" s="34"/>
    </row>
    <row r="1426" spans="1:22" ht="15" customHeight="1" thickBot="1">
      <c r="B1426" s="264"/>
      <c r="C1426" s="265"/>
      <c r="D1426" s="267" t="s">
        <v>15</v>
      </c>
      <c r="E1426" s="268"/>
      <c r="F1426" s="268"/>
      <c r="G1426" s="268"/>
      <c r="H1426" s="268"/>
      <c r="I1426" s="269"/>
      <c r="J1426" s="267" t="s">
        <v>32</v>
      </c>
      <c r="K1426" s="268"/>
      <c r="L1426" s="268"/>
      <c r="M1426" s="268"/>
      <c r="N1426" s="268"/>
      <c r="O1426" s="269"/>
      <c r="P1426" s="267" t="s">
        <v>17</v>
      </c>
      <c r="Q1426" s="268"/>
      <c r="R1426" s="268"/>
      <c r="S1426" s="268"/>
      <c r="T1426" s="268"/>
      <c r="U1426" s="35"/>
    </row>
    <row r="1427" spans="1:22" ht="15.75" customHeight="1" thickBot="1">
      <c r="B1427" s="219"/>
      <c r="C1427" s="266"/>
      <c r="D1427" s="270" t="s">
        <v>26</v>
      </c>
      <c r="E1427" s="271"/>
      <c r="F1427" s="272" t="s">
        <v>27</v>
      </c>
      <c r="G1427" s="273"/>
      <c r="H1427" s="268" t="s">
        <v>28</v>
      </c>
      <c r="I1427" s="269"/>
      <c r="J1427" s="272" t="s">
        <v>26</v>
      </c>
      <c r="K1427" s="273"/>
      <c r="L1427" s="272" t="s">
        <v>27</v>
      </c>
      <c r="M1427" s="273"/>
      <c r="N1427" s="268" t="s">
        <v>28</v>
      </c>
      <c r="O1427" s="269"/>
      <c r="P1427" s="272" t="s">
        <v>26</v>
      </c>
      <c r="Q1427" s="273"/>
      <c r="R1427" s="272" t="s">
        <v>27</v>
      </c>
      <c r="S1427" s="273"/>
      <c r="T1427" s="268" t="s">
        <v>28</v>
      </c>
      <c r="U1427" s="269"/>
    </row>
    <row r="1428" spans="1:22" ht="30" customHeight="1">
      <c r="A1428" s="23"/>
      <c r="B1428" s="250" t="s">
        <v>33</v>
      </c>
      <c r="C1428" s="251"/>
      <c r="D1428" s="252">
        <v>675408</v>
      </c>
      <c r="E1428" s="253"/>
      <c r="F1428" s="252">
        <v>0</v>
      </c>
      <c r="G1428" s="253"/>
      <c r="H1428" s="252">
        <v>0</v>
      </c>
      <c r="I1428" s="253"/>
      <c r="J1428" s="254">
        <v>54957.33</v>
      </c>
      <c r="K1428" s="255"/>
      <c r="L1428" s="240">
        <v>0</v>
      </c>
      <c r="M1428" s="253"/>
      <c r="N1428" s="240">
        <v>0</v>
      </c>
      <c r="O1428" s="256"/>
      <c r="P1428" s="254">
        <f>23416.71+27887.03+23419.61+20279.25+15856.72+25980.18+94293.4+96348.75+80648.45+70799.87+142319.33+54957.33</f>
        <v>676206.63</v>
      </c>
      <c r="Q1428" s="255"/>
      <c r="R1428" s="240">
        <v>0</v>
      </c>
      <c r="S1428" s="253"/>
      <c r="T1428" s="240">
        <v>0</v>
      </c>
      <c r="U1428" s="241"/>
    </row>
    <row r="1429" spans="1:22" ht="30" customHeight="1" thickBot="1">
      <c r="A1429" s="4"/>
      <c r="B1429" s="242" t="s">
        <v>34</v>
      </c>
      <c r="C1429" s="243"/>
      <c r="D1429" s="244">
        <v>104428</v>
      </c>
      <c r="E1429" s="245"/>
      <c r="F1429" s="244">
        <v>0</v>
      </c>
      <c r="G1429" s="245"/>
      <c r="H1429" s="244">
        <v>0</v>
      </c>
      <c r="I1429" s="245"/>
      <c r="J1429" s="244">
        <v>30000</v>
      </c>
      <c r="K1429" s="245"/>
      <c r="L1429" s="246">
        <v>0</v>
      </c>
      <c r="M1429" s="245"/>
      <c r="N1429" s="246">
        <v>0</v>
      </c>
      <c r="O1429" s="247"/>
      <c r="P1429" s="248">
        <f>0+0+0+12328+6710.67+9289.33+1952.17+6093.87+18931.09+3324.24+15000+30000</f>
        <v>103629.37</v>
      </c>
      <c r="Q1429" s="249"/>
      <c r="R1429" s="246">
        <v>0</v>
      </c>
      <c r="S1429" s="245"/>
      <c r="T1429" s="246">
        <v>0</v>
      </c>
      <c r="U1429" s="247"/>
    </row>
    <row r="1430" spans="1:22" ht="15.75" thickBot="1">
      <c r="A1430" s="23"/>
      <c r="B1430" s="233" t="s">
        <v>21</v>
      </c>
      <c r="C1430" s="234"/>
      <c r="D1430" s="235">
        <f>SUM(D1428:E1429)</f>
        <v>779836</v>
      </c>
      <c r="E1430" s="236"/>
      <c r="F1430" s="235">
        <f>SUM(F1428:G1429)</f>
        <v>0</v>
      </c>
      <c r="G1430" s="236"/>
      <c r="H1430" s="235">
        <f>SUM(H1428:I1429)</f>
        <v>0</v>
      </c>
      <c r="I1430" s="236"/>
      <c r="J1430" s="237">
        <f>SUM(J1428:K1429)</f>
        <v>84957.33</v>
      </c>
      <c r="K1430" s="238"/>
      <c r="L1430" s="215">
        <f>SUM(L1428:M1429)</f>
        <v>0</v>
      </c>
      <c r="M1430" s="238"/>
      <c r="N1430" s="236">
        <f>SUM(N1428:O1429)</f>
        <v>0</v>
      </c>
      <c r="O1430" s="236"/>
      <c r="P1430" s="237">
        <f>SUM(P1428:Q1429)</f>
        <v>779836</v>
      </c>
      <c r="Q1430" s="239"/>
      <c r="R1430" s="215">
        <f>SUM(R1428:S1429)</f>
        <v>0</v>
      </c>
      <c r="S1430" s="238"/>
      <c r="T1430" s="215">
        <f>SUM(T1428:U1429)</f>
        <v>0</v>
      </c>
      <c r="U1430" s="216"/>
    </row>
    <row r="1431" spans="1:22">
      <c r="A1431" s="23"/>
      <c r="B1431" s="182"/>
      <c r="C1431" s="182"/>
      <c r="D1431" s="182"/>
      <c r="E1431" s="182"/>
      <c r="F1431" s="178"/>
      <c r="G1431" s="178"/>
      <c r="H1431" s="179"/>
      <c r="I1431" s="179"/>
      <c r="J1431" s="178"/>
      <c r="K1431" s="178"/>
      <c r="L1431" s="115"/>
      <c r="M1431" s="179"/>
      <c r="N1431" s="178"/>
      <c r="O1431" s="179"/>
      <c r="P1431" s="179"/>
      <c r="Q1431" s="178"/>
      <c r="R1431" s="23"/>
      <c r="S1431" s="23"/>
      <c r="T1431" s="23"/>
      <c r="U1431" s="23"/>
    </row>
    <row r="1432" spans="1:22" ht="15.75" thickBot="1">
      <c r="A1432" s="23"/>
      <c r="B1432" s="182"/>
      <c r="C1432" s="182"/>
      <c r="D1432" s="182"/>
      <c r="E1432" s="182"/>
      <c r="F1432" s="178"/>
      <c r="G1432" s="178"/>
      <c r="H1432" s="178"/>
      <c r="I1432" s="178"/>
      <c r="J1432" s="178"/>
      <c r="K1432" s="178"/>
      <c r="L1432" s="178"/>
      <c r="M1432" s="178"/>
      <c r="N1432" s="178"/>
      <c r="O1432" s="178"/>
      <c r="P1432" s="178"/>
      <c r="Q1432" s="178"/>
      <c r="R1432" s="23"/>
      <c r="S1432" s="23"/>
      <c r="T1432" s="23"/>
      <c r="U1432" s="23"/>
    </row>
    <row r="1433" spans="1:22" ht="15.75" thickBot="1">
      <c r="B1433" s="217" t="s">
        <v>35</v>
      </c>
      <c r="C1433" s="218"/>
      <c r="D1433" s="218"/>
      <c r="E1433" s="219"/>
      <c r="F1433" s="205"/>
      <c r="G1433" s="205"/>
      <c r="H1433" s="205"/>
      <c r="I1433" s="205"/>
      <c r="J1433" s="205"/>
      <c r="K1433" s="205"/>
      <c r="L1433" s="205"/>
      <c r="M1433" s="205"/>
      <c r="N1433" s="205"/>
      <c r="O1433" s="205"/>
      <c r="P1433" s="205"/>
      <c r="Q1433" s="205"/>
      <c r="R1433" s="205"/>
      <c r="S1433" s="205"/>
      <c r="T1433" s="205"/>
      <c r="U1433" s="205"/>
    </row>
    <row r="1434" spans="1:22">
      <c r="B1434" s="224" t="s">
        <v>152</v>
      </c>
      <c r="C1434" s="225"/>
      <c r="D1434" s="225"/>
      <c r="E1434" s="225"/>
      <c r="F1434" s="225"/>
      <c r="G1434" s="225"/>
      <c r="H1434" s="225"/>
      <c r="I1434" s="225"/>
      <c r="J1434" s="225"/>
      <c r="K1434" s="225"/>
      <c r="L1434" s="225"/>
      <c r="M1434" s="225"/>
      <c r="N1434" s="225"/>
      <c r="O1434" s="225"/>
      <c r="P1434" s="225"/>
      <c r="Q1434" s="225"/>
      <c r="R1434" s="225"/>
      <c r="S1434" s="225"/>
      <c r="T1434" s="225"/>
      <c r="U1434" s="226"/>
    </row>
    <row r="1435" spans="1:22">
      <c r="B1435" s="227"/>
      <c r="C1435" s="228"/>
      <c r="D1435" s="228"/>
      <c r="E1435" s="228"/>
      <c r="F1435" s="228"/>
      <c r="G1435" s="228"/>
      <c r="H1435" s="228"/>
      <c r="I1435" s="228"/>
      <c r="J1435" s="228"/>
      <c r="K1435" s="228"/>
      <c r="L1435" s="228"/>
      <c r="M1435" s="228"/>
      <c r="N1435" s="228"/>
      <c r="O1435" s="228"/>
      <c r="P1435" s="228"/>
      <c r="Q1435" s="228"/>
      <c r="R1435" s="228"/>
      <c r="S1435" s="228"/>
      <c r="T1435" s="228"/>
      <c r="U1435" s="229"/>
    </row>
    <row r="1436" spans="1:22">
      <c r="B1436" s="227"/>
      <c r="C1436" s="228"/>
      <c r="D1436" s="228"/>
      <c r="E1436" s="228"/>
      <c r="F1436" s="228"/>
      <c r="G1436" s="228"/>
      <c r="H1436" s="228"/>
      <c r="I1436" s="228"/>
      <c r="J1436" s="228"/>
      <c r="K1436" s="228"/>
      <c r="L1436" s="228"/>
      <c r="M1436" s="228"/>
      <c r="N1436" s="228"/>
      <c r="O1436" s="228"/>
      <c r="P1436" s="228"/>
      <c r="Q1436" s="228"/>
      <c r="R1436" s="228"/>
      <c r="S1436" s="228"/>
      <c r="T1436" s="228"/>
      <c r="U1436" s="229"/>
    </row>
    <row r="1437" spans="1:22">
      <c r="B1437" s="227"/>
      <c r="C1437" s="228"/>
      <c r="D1437" s="228"/>
      <c r="E1437" s="228"/>
      <c r="F1437" s="228"/>
      <c r="G1437" s="228"/>
      <c r="H1437" s="228"/>
      <c r="I1437" s="228"/>
      <c r="J1437" s="228"/>
      <c r="K1437" s="228"/>
      <c r="L1437" s="228"/>
      <c r="M1437" s="228"/>
      <c r="N1437" s="228"/>
      <c r="O1437" s="228"/>
      <c r="P1437" s="228"/>
      <c r="Q1437" s="228"/>
      <c r="R1437" s="228"/>
      <c r="S1437" s="228"/>
      <c r="T1437" s="228"/>
      <c r="U1437" s="229"/>
    </row>
    <row r="1438" spans="1:22">
      <c r="B1438" s="227"/>
      <c r="C1438" s="228"/>
      <c r="D1438" s="228"/>
      <c r="E1438" s="228"/>
      <c r="F1438" s="228"/>
      <c r="G1438" s="228"/>
      <c r="H1438" s="228"/>
      <c r="I1438" s="228"/>
      <c r="J1438" s="228"/>
      <c r="K1438" s="228"/>
      <c r="L1438" s="228"/>
      <c r="M1438" s="228"/>
      <c r="N1438" s="228"/>
      <c r="O1438" s="228"/>
      <c r="P1438" s="228"/>
      <c r="Q1438" s="228"/>
      <c r="R1438" s="228"/>
      <c r="S1438" s="228"/>
      <c r="T1438" s="228"/>
      <c r="U1438" s="229"/>
    </row>
    <row r="1439" spans="1:22">
      <c r="B1439" s="227"/>
      <c r="C1439" s="228"/>
      <c r="D1439" s="228"/>
      <c r="E1439" s="228"/>
      <c r="F1439" s="228"/>
      <c r="G1439" s="228"/>
      <c r="H1439" s="228"/>
      <c r="I1439" s="228"/>
      <c r="J1439" s="228"/>
      <c r="K1439" s="228"/>
      <c r="L1439" s="228"/>
      <c r="M1439" s="228"/>
      <c r="N1439" s="228"/>
      <c r="O1439" s="228"/>
      <c r="P1439" s="228"/>
      <c r="Q1439" s="228"/>
      <c r="R1439" s="228"/>
      <c r="S1439" s="228"/>
      <c r="T1439" s="228"/>
      <c r="U1439" s="229"/>
    </row>
    <row r="1440" spans="1:22" ht="15.75" thickBot="1">
      <c r="B1440" s="230"/>
      <c r="C1440" s="231"/>
      <c r="D1440" s="231"/>
      <c r="E1440" s="231"/>
      <c r="F1440" s="231"/>
      <c r="G1440" s="231"/>
      <c r="H1440" s="231"/>
      <c r="I1440" s="231"/>
      <c r="J1440" s="231"/>
      <c r="K1440" s="231"/>
      <c r="L1440" s="231"/>
      <c r="M1440" s="231"/>
      <c r="N1440" s="231"/>
      <c r="O1440" s="231"/>
      <c r="P1440" s="231"/>
      <c r="Q1440" s="231"/>
      <c r="R1440" s="231"/>
      <c r="S1440" s="231"/>
      <c r="T1440" s="231"/>
      <c r="U1440" s="232"/>
    </row>
    <row r="1441" spans="2:21">
      <c r="B1441" s="23"/>
    </row>
    <row r="1442" spans="2:21">
      <c r="H1442" s="40"/>
      <c r="I1442" s="40"/>
      <c r="O1442" s="40"/>
      <c r="Q1442" s="40"/>
    </row>
    <row r="1443" spans="2:21">
      <c r="B1443" s="220" t="s">
        <v>38</v>
      </c>
      <c r="C1443" s="220"/>
      <c r="D1443" s="220"/>
      <c r="E1443" s="220"/>
      <c r="F1443" s="220"/>
      <c r="G1443" s="220"/>
      <c r="I1443" s="41"/>
      <c r="J1443" s="213" t="s">
        <v>36</v>
      </c>
      <c r="K1443" s="213"/>
      <c r="L1443" s="213"/>
      <c r="M1443" s="213"/>
      <c r="N1443" s="213"/>
      <c r="O1443" s="213"/>
      <c r="R1443" s="213" t="s">
        <v>37</v>
      </c>
      <c r="S1443" s="213"/>
      <c r="T1443" s="213"/>
      <c r="U1443" s="213"/>
    </row>
    <row r="1444" spans="2:21">
      <c r="B1444" s="220"/>
      <c r="C1444" s="220"/>
      <c r="D1444" s="220"/>
      <c r="E1444" s="220"/>
      <c r="F1444" s="220"/>
      <c r="G1444" s="220"/>
      <c r="H1444" s="42"/>
      <c r="I1444" s="42"/>
      <c r="J1444" s="221"/>
      <c r="K1444" s="221"/>
      <c r="L1444" s="221"/>
      <c r="M1444" s="221"/>
      <c r="N1444" s="221"/>
      <c r="O1444" s="221"/>
      <c r="P1444" s="42"/>
      <c r="Q1444" s="42"/>
      <c r="R1444" s="210" t="s">
        <v>0</v>
      </c>
      <c r="S1444" s="210"/>
      <c r="T1444" s="210"/>
      <c r="U1444" s="210"/>
    </row>
    <row r="1445" spans="2:21">
      <c r="B1445" s="220"/>
      <c r="C1445" s="220"/>
      <c r="D1445" s="220"/>
      <c r="E1445" s="220"/>
      <c r="F1445" s="220"/>
      <c r="G1445" s="220"/>
      <c r="H1445" s="177"/>
      <c r="I1445" s="177"/>
      <c r="J1445" s="221"/>
      <c r="K1445" s="221"/>
      <c r="L1445" s="221"/>
      <c r="M1445" s="221"/>
      <c r="N1445" s="221"/>
      <c r="O1445" s="221"/>
      <c r="P1445" s="177"/>
      <c r="Q1445" s="177"/>
      <c r="R1445" s="210"/>
      <c r="S1445" s="210"/>
      <c r="T1445" s="210"/>
      <c r="U1445" s="210"/>
    </row>
    <row r="1446" spans="2:21">
      <c r="B1446" s="220"/>
      <c r="C1446" s="220"/>
      <c r="D1446" s="220"/>
      <c r="E1446" s="220"/>
      <c r="F1446" s="220"/>
      <c r="G1446" s="220"/>
      <c r="H1446" s="177"/>
      <c r="I1446" s="177"/>
      <c r="J1446" s="221"/>
      <c r="K1446" s="221"/>
      <c r="L1446" s="221"/>
      <c r="M1446" s="221"/>
      <c r="N1446" s="221"/>
      <c r="O1446" s="221"/>
      <c r="P1446" s="177"/>
      <c r="Q1446" s="177"/>
      <c r="R1446" s="210"/>
      <c r="S1446" s="210"/>
      <c r="T1446" s="210"/>
      <c r="U1446" s="210"/>
    </row>
    <row r="1447" spans="2:21">
      <c r="B1447" s="220"/>
      <c r="C1447" s="220"/>
      <c r="D1447" s="220"/>
      <c r="E1447" s="220"/>
      <c r="F1447" s="220"/>
      <c r="G1447" s="220"/>
      <c r="H1447" s="177"/>
      <c r="I1447" s="177"/>
      <c r="J1447" s="221"/>
      <c r="K1447" s="221"/>
      <c r="L1447" s="221"/>
      <c r="M1447" s="221"/>
      <c r="N1447" s="221"/>
      <c r="O1447" s="221"/>
      <c r="P1447" s="177"/>
      <c r="Q1447" s="177"/>
      <c r="R1447" s="210"/>
      <c r="S1447" s="210"/>
      <c r="T1447" s="210"/>
      <c r="U1447" s="210"/>
    </row>
    <row r="1448" spans="2:21" ht="15.75" thickBot="1">
      <c r="B1448" s="223"/>
      <c r="C1448" s="223"/>
      <c r="D1448" s="223"/>
      <c r="E1448" s="223"/>
      <c r="F1448" s="223"/>
      <c r="G1448" s="223"/>
      <c r="J1448" s="222"/>
      <c r="K1448" s="222"/>
      <c r="L1448" s="222"/>
      <c r="M1448" s="222"/>
      <c r="N1448" s="222"/>
      <c r="O1448" s="222"/>
      <c r="R1448" s="205"/>
      <c r="S1448" s="205"/>
      <c r="T1448" s="205"/>
      <c r="U1448" s="205"/>
    </row>
    <row r="1449" spans="2:21">
      <c r="B1449" s="210" t="s">
        <v>101</v>
      </c>
      <c r="C1449" s="210"/>
      <c r="D1449" s="210"/>
      <c r="E1449" s="210"/>
      <c r="F1449" s="210"/>
      <c r="G1449" s="210"/>
      <c r="J1449" s="204" t="s">
        <v>102</v>
      </c>
      <c r="K1449" s="204"/>
      <c r="L1449" s="204"/>
      <c r="M1449" s="204"/>
      <c r="N1449" s="204"/>
      <c r="O1449" s="204"/>
      <c r="R1449" s="211" t="s">
        <v>137</v>
      </c>
      <c r="S1449" s="211"/>
      <c r="T1449" s="211"/>
      <c r="U1449" s="211"/>
    </row>
    <row r="1450" spans="2:21">
      <c r="B1450" s="204" t="s">
        <v>103</v>
      </c>
      <c r="C1450" s="204"/>
      <c r="D1450" s="204"/>
      <c r="E1450" s="204"/>
      <c r="F1450" s="204"/>
      <c r="G1450" s="204"/>
      <c r="J1450" s="212" t="s">
        <v>104</v>
      </c>
      <c r="K1450" s="212"/>
      <c r="L1450" s="212"/>
      <c r="M1450" s="212"/>
      <c r="N1450" s="212"/>
      <c r="O1450" s="212"/>
      <c r="P1450" s="118"/>
      <c r="Q1450" s="118"/>
      <c r="R1450" s="212" t="s">
        <v>105</v>
      </c>
      <c r="S1450" s="212"/>
      <c r="T1450" s="212"/>
      <c r="U1450" s="212"/>
    </row>
    <row r="1452" spans="2:21">
      <c r="J1452" s="213" t="s">
        <v>50</v>
      </c>
      <c r="K1452" s="213"/>
      <c r="L1452" s="213"/>
      <c r="M1452" s="213"/>
      <c r="N1452" s="213"/>
      <c r="O1452" s="213"/>
    </row>
    <row r="1453" spans="2:21">
      <c r="C1453" s="214" t="s">
        <v>157</v>
      </c>
      <c r="D1453" s="214"/>
      <c r="E1453" s="214"/>
      <c r="F1453" s="214"/>
      <c r="J1453" s="206" t="s">
        <v>48</v>
      </c>
      <c r="K1453" s="206"/>
      <c r="L1453" s="206"/>
      <c r="M1453" s="206"/>
      <c r="N1453" s="206"/>
      <c r="O1453" s="206"/>
      <c r="R1453" s="206" t="s">
        <v>51</v>
      </c>
      <c r="S1453" s="206"/>
      <c r="T1453" s="206"/>
      <c r="U1453" s="206"/>
    </row>
    <row r="1454" spans="2:21">
      <c r="B1454" s="204"/>
      <c r="C1454" s="204"/>
      <c r="D1454" s="204"/>
      <c r="E1454" s="204"/>
      <c r="F1454" s="204"/>
      <c r="G1454" s="204"/>
      <c r="J1454" s="206"/>
      <c r="K1454" s="206"/>
      <c r="L1454" s="206"/>
      <c r="M1454" s="206"/>
      <c r="N1454" s="206"/>
      <c r="O1454" s="206"/>
      <c r="R1454" s="204"/>
      <c r="S1454" s="204"/>
      <c r="T1454" s="204"/>
      <c r="U1454" s="204"/>
    </row>
    <row r="1455" spans="2:21">
      <c r="B1455" s="204"/>
      <c r="C1455" s="204"/>
      <c r="D1455" s="204"/>
      <c r="E1455" s="204"/>
      <c r="F1455" s="204"/>
      <c r="G1455" s="204"/>
      <c r="J1455" s="206"/>
      <c r="K1455" s="206"/>
      <c r="L1455" s="206"/>
      <c r="M1455" s="206"/>
      <c r="N1455" s="206"/>
      <c r="O1455" s="206"/>
      <c r="R1455" s="204"/>
      <c r="S1455" s="204"/>
      <c r="T1455" s="204"/>
      <c r="U1455" s="204"/>
    </row>
    <row r="1456" spans="2:21">
      <c r="B1456" s="204"/>
      <c r="C1456" s="204"/>
      <c r="D1456" s="204"/>
      <c r="E1456" s="204"/>
      <c r="F1456" s="204"/>
      <c r="G1456" s="204"/>
      <c r="J1456" s="206"/>
      <c r="K1456" s="206"/>
      <c r="L1456" s="206"/>
      <c r="M1456" s="206"/>
      <c r="N1456" s="206"/>
      <c r="O1456" s="206"/>
      <c r="R1456" s="204"/>
      <c r="S1456" s="204"/>
      <c r="T1456" s="204"/>
      <c r="U1456" s="204"/>
    </row>
    <row r="1457" spans="2:21" ht="15.75" thickBot="1">
      <c r="B1457" s="205"/>
      <c r="C1457" s="205"/>
      <c r="D1457" s="205"/>
      <c r="E1457" s="205"/>
      <c r="F1457" s="205"/>
      <c r="G1457" s="205"/>
      <c r="H1457" s="51"/>
      <c r="I1457" s="51"/>
      <c r="J1457" s="207"/>
      <c r="K1457" s="207"/>
      <c r="L1457" s="207"/>
      <c r="M1457" s="207"/>
      <c r="N1457" s="207"/>
      <c r="O1457" s="207"/>
      <c r="P1457" s="51"/>
      <c r="Q1457" s="51"/>
      <c r="R1457" s="205"/>
      <c r="S1457" s="205"/>
      <c r="T1457" s="205"/>
      <c r="U1457" s="205"/>
    </row>
    <row r="1458" spans="2:21">
      <c r="B1458" s="208" t="s">
        <v>106</v>
      </c>
      <c r="C1458" s="208"/>
      <c r="D1458" s="208"/>
      <c r="E1458" s="208"/>
      <c r="F1458" s="208"/>
      <c r="G1458" s="208"/>
      <c r="H1458" s="119"/>
      <c r="I1458" s="119"/>
      <c r="J1458" s="208" t="s">
        <v>107</v>
      </c>
      <c r="K1458" s="208"/>
      <c r="L1458" s="208"/>
      <c r="M1458" s="208"/>
      <c r="N1458" s="208"/>
      <c r="O1458" s="208"/>
      <c r="P1458" s="51"/>
      <c r="Q1458" s="51"/>
      <c r="R1458" s="208" t="s">
        <v>108</v>
      </c>
      <c r="S1458" s="208"/>
      <c r="T1458" s="208"/>
      <c r="U1458" s="208"/>
    </row>
    <row r="1459" spans="2:21" ht="32.25" customHeight="1">
      <c r="B1459" s="209" t="s">
        <v>109</v>
      </c>
      <c r="C1459" s="209"/>
      <c r="D1459" s="209"/>
      <c r="E1459" s="209"/>
      <c r="F1459" s="209"/>
      <c r="G1459" s="209"/>
      <c r="J1459" s="209" t="s">
        <v>110</v>
      </c>
      <c r="K1459" s="209"/>
      <c r="L1459" s="209"/>
      <c r="M1459" s="209"/>
      <c r="N1459" s="209"/>
      <c r="O1459" s="209"/>
      <c r="R1459" s="209" t="s">
        <v>111</v>
      </c>
      <c r="S1459" s="209"/>
      <c r="T1459" s="209"/>
      <c r="U1459" s="209"/>
    </row>
  </sheetData>
  <mergeCells count="4004">
    <mergeCell ref="B773:F773"/>
    <mergeCell ref="G773:H773"/>
    <mergeCell ref="B894:F894"/>
    <mergeCell ref="G894:H894"/>
    <mergeCell ref="B1016:F1016"/>
    <mergeCell ref="G1016:H1016"/>
    <mergeCell ref="B1138:F1138"/>
    <mergeCell ref="G1138:H1138"/>
    <mergeCell ref="B1196:G1196"/>
    <mergeCell ref="J1196:O1196"/>
    <mergeCell ref="R1196:U1196"/>
    <mergeCell ref="B1197:G1197"/>
    <mergeCell ref="J1197:O1197"/>
    <mergeCell ref="R1197:U1197"/>
    <mergeCell ref="J1199:O1199"/>
    <mergeCell ref="C1200:F1200"/>
    <mergeCell ref="J1200:O1200"/>
    <mergeCell ref="R1200:U1200"/>
    <mergeCell ref="B1175:C1175"/>
    <mergeCell ref="D1175:E1175"/>
    <mergeCell ref="F1175:G1175"/>
    <mergeCell ref="H1175:I1175"/>
    <mergeCell ref="J1175:K1175"/>
    <mergeCell ref="L1175:M1175"/>
    <mergeCell ref="N1175:O1175"/>
    <mergeCell ref="P1175:Q1175"/>
    <mergeCell ref="R1175:S1175"/>
    <mergeCell ref="T1175:U1175"/>
    <mergeCell ref="B1176:C1176"/>
    <mergeCell ref="D1176:E1176"/>
    <mergeCell ref="F1176:G1176"/>
    <mergeCell ref="H1176:I1176"/>
    <mergeCell ref="B1201:G1204"/>
    <mergeCell ref="J1201:O1204"/>
    <mergeCell ref="R1201:U1204"/>
    <mergeCell ref="B1205:G1205"/>
    <mergeCell ref="J1205:O1205"/>
    <mergeCell ref="R1205:U1205"/>
    <mergeCell ref="B1206:G1206"/>
    <mergeCell ref="J1206:O1206"/>
    <mergeCell ref="R1206:U1206"/>
    <mergeCell ref="B1177:C1177"/>
    <mergeCell ref="D1177:E1177"/>
    <mergeCell ref="F1177:G1177"/>
    <mergeCell ref="H1177:I1177"/>
    <mergeCell ref="J1177:K1177"/>
    <mergeCell ref="L1177:M1177"/>
    <mergeCell ref="N1177:O1177"/>
    <mergeCell ref="P1177:Q1177"/>
    <mergeCell ref="R1177:S1177"/>
    <mergeCell ref="T1177:U1177"/>
    <mergeCell ref="B1180:D1180"/>
    <mergeCell ref="E1180:U1180"/>
    <mergeCell ref="B1181:U1187"/>
    <mergeCell ref="J1190:O1190"/>
    <mergeCell ref="R1190:U1190"/>
    <mergeCell ref="B1191:G1191"/>
    <mergeCell ref="J1191:O1195"/>
    <mergeCell ref="R1191:U1195"/>
    <mergeCell ref="B1192:G1195"/>
    <mergeCell ref="B1190:G1190"/>
    <mergeCell ref="J1176:K1176"/>
    <mergeCell ref="L1176:M1176"/>
    <mergeCell ref="N1176:O1176"/>
    <mergeCell ref="P1176:Q1176"/>
    <mergeCell ref="R1176:S1176"/>
    <mergeCell ref="T1176:U1176"/>
    <mergeCell ref="B1166:F1166"/>
    <mergeCell ref="G1166:H1166"/>
    <mergeCell ref="B1167:F1167"/>
    <mergeCell ref="G1167:H1167"/>
    <mergeCell ref="B1168:F1168"/>
    <mergeCell ref="G1168:H1168"/>
    <mergeCell ref="B1169:F1169"/>
    <mergeCell ref="G1169:H1169"/>
    <mergeCell ref="B1170:F1170"/>
    <mergeCell ref="G1170:H1170"/>
    <mergeCell ref="B1172:U1172"/>
    <mergeCell ref="B1173:C1174"/>
    <mergeCell ref="D1173:I1173"/>
    <mergeCell ref="J1173:O1173"/>
    <mergeCell ref="P1173:T1173"/>
    <mergeCell ref="D1174:E1174"/>
    <mergeCell ref="F1174:G1174"/>
    <mergeCell ref="H1174:I1174"/>
    <mergeCell ref="J1174:K1174"/>
    <mergeCell ref="L1174:M1174"/>
    <mergeCell ref="N1174:O1174"/>
    <mergeCell ref="P1174:Q1174"/>
    <mergeCell ref="R1174:S1174"/>
    <mergeCell ref="T1174:U1174"/>
    <mergeCell ref="B1157:F1157"/>
    <mergeCell ref="G1157:H1157"/>
    <mergeCell ref="B1158:F1158"/>
    <mergeCell ref="G1158:H1158"/>
    <mergeCell ref="B1159:F1159"/>
    <mergeCell ref="G1159:H1159"/>
    <mergeCell ref="B1160:U1160"/>
    <mergeCell ref="B1161:F1161"/>
    <mergeCell ref="G1161:H1161"/>
    <mergeCell ref="B1162:F1162"/>
    <mergeCell ref="G1162:H1162"/>
    <mergeCell ref="B1163:F1163"/>
    <mergeCell ref="G1163:H1163"/>
    <mergeCell ref="B1164:F1164"/>
    <mergeCell ref="G1164:H1164"/>
    <mergeCell ref="B1165:F1165"/>
    <mergeCell ref="G1165:H1165"/>
    <mergeCell ref="B1148:F1148"/>
    <mergeCell ref="G1148:H1148"/>
    <mergeCell ref="B1149:F1149"/>
    <mergeCell ref="G1149:H1149"/>
    <mergeCell ref="B1150:F1150"/>
    <mergeCell ref="G1150:H1150"/>
    <mergeCell ref="B1151:F1151"/>
    <mergeCell ref="G1151:H1151"/>
    <mergeCell ref="B1152:F1152"/>
    <mergeCell ref="G1152:H1152"/>
    <mergeCell ref="B1153:F1153"/>
    <mergeCell ref="G1153:H1153"/>
    <mergeCell ref="B1154:F1154"/>
    <mergeCell ref="G1154:H1154"/>
    <mergeCell ref="B1155:F1155"/>
    <mergeCell ref="G1155:H1155"/>
    <mergeCell ref="B1156:F1156"/>
    <mergeCell ref="G1156:H1156"/>
    <mergeCell ref="B1139:F1139"/>
    <mergeCell ref="G1139:H1139"/>
    <mergeCell ref="B1140:F1140"/>
    <mergeCell ref="G1140:H1140"/>
    <mergeCell ref="B1141:F1141"/>
    <mergeCell ref="G1141:H1141"/>
    <mergeCell ref="B1142:F1142"/>
    <mergeCell ref="G1142:H1142"/>
    <mergeCell ref="B1143:F1143"/>
    <mergeCell ref="G1143:H1143"/>
    <mergeCell ref="B1144:F1144"/>
    <mergeCell ref="G1144:H1144"/>
    <mergeCell ref="B1145:F1145"/>
    <mergeCell ref="G1145:H1145"/>
    <mergeCell ref="B1146:F1146"/>
    <mergeCell ref="G1146:H1146"/>
    <mergeCell ref="B1147:F1147"/>
    <mergeCell ref="G1147:H1147"/>
    <mergeCell ref="B1129:F1129"/>
    <mergeCell ref="G1129:N1129"/>
    <mergeCell ref="O1129:U1129"/>
    <mergeCell ref="B1131:F1134"/>
    <mergeCell ref="G1131:U1131"/>
    <mergeCell ref="G1132:H1134"/>
    <mergeCell ref="I1132:N1132"/>
    <mergeCell ref="O1132:U1132"/>
    <mergeCell ref="I1133:K1133"/>
    <mergeCell ref="L1133:N1133"/>
    <mergeCell ref="O1133:Q1133"/>
    <mergeCell ref="R1133:T1133"/>
    <mergeCell ref="U1133:U1134"/>
    <mergeCell ref="B1135:U1135"/>
    <mergeCell ref="B1136:F1136"/>
    <mergeCell ref="G1136:H1136"/>
    <mergeCell ref="B1137:F1137"/>
    <mergeCell ref="G1137:H1137"/>
    <mergeCell ref="B1126:D1126"/>
    <mergeCell ref="E1126:F1126"/>
    <mergeCell ref="G1126:H1126"/>
    <mergeCell ref="I1126:K1126"/>
    <mergeCell ref="L1126:N1126"/>
    <mergeCell ref="O1126:Q1126"/>
    <mergeCell ref="R1126:T1126"/>
    <mergeCell ref="B1127:D1127"/>
    <mergeCell ref="E1127:F1127"/>
    <mergeCell ref="G1127:H1127"/>
    <mergeCell ref="I1127:K1127"/>
    <mergeCell ref="L1127:N1127"/>
    <mergeCell ref="O1127:Q1127"/>
    <mergeCell ref="R1127:T1127"/>
    <mergeCell ref="B1128:D1128"/>
    <mergeCell ref="E1128:F1128"/>
    <mergeCell ref="G1128:H1128"/>
    <mergeCell ref="I1128:K1128"/>
    <mergeCell ref="L1128:N1128"/>
    <mergeCell ref="O1128:Q1128"/>
    <mergeCell ref="R1128:T1128"/>
    <mergeCell ref="B1123:D1123"/>
    <mergeCell ref="E1123:F1123"/>
    <mergeCell ref="G1123:H1123"/>
    <mergeCell ref="I1123:K1123"/>
    <mergeCell ref="L1123:N1123"/>
    <mergeCell ref="O1123:Q1123"/>
    <mergeCell ref="R1123:T1123"/>
    <mergeCell ref="B1124:D1124"/>
    <mergeCell ref="E1124:F1124"/>
    <mergeCell ref="G1124:H1124"/>
    <mergeCell ref="I1124:K1124"/>
    <mergeCell ref="L1124:N1124"/>
    <mergeCell ref="O1124:Q1124"/>
    <mergeCell ref="R1124:T1124"/>
    <mergeCell ref="B1125:D1125"/>
    <mergeCell ref="E1125:F1125"/>
    <mergeCell ref="G1125:H1125"/>
    <mergeCell ref="I1125:K1125"/>
    <mergeCell ref="L1125:N1125"/>
    <mergeCell ref="O1125:Q1125"/>
    <mergeCell ref="R1125:T1125"/>
    <mergeCell ref="B1120:D1120"/>
    <mergeCell ref="E1120:F1120"/>
    <mergeCell ref="G1120:H1120"/>
    <mergeCell ref="I1120:K1120"/>
    <mergeCell ref="L1120:N1120"/>
    <mergeCell ref="O1120:Q1120"/>
    <mergeCell ref="R1120:T1120"/>
    <mergeCell ref="B1121:D1121"/>
    <mergeCell ref="E1121:F1121"/>
    <mergeCell ref="G1121:H1121"/>
    <mergeCell ref="I1121:K1121"/>
    <mergeCell ref="L1121:N1121"/>
    <mergeCell ref="O1121:Q1121"/>
    <mergeCell ref="R1121:T1121"/>
    <mergeCell ref="B1122:D1122"/>
    <mergeCell ref="E1122:F1122"/>
    <mergeCell ref="G1122:H1122"/>
    <mergeCell ref="I1122:K1122"/>
    <mergeCell ref="L1122:N1122"/>
    <mergeCell ref="O1122:Q1122"/>
    <mergeCell ref="R1122:T1122"/>
    <mergeCell ref="B1117:D1117"/>
    <mergeCell ref="E1117:F1117"/>
    <mergeCell ref="G1117:H1117"/>
    <mergeCell ref="I1117:K1117"/>
    <mergeCell ref="L1117:N1117"/>
    <mergeCell ref="O1117:Q1117"/>
    <mergeCell ref="R1117:T1117"/>
    <mergeCell ref="B1118:D1118"/>
    <mergeCell ref="E1118:F1118"/>
    <mergeCell ref="G1118:H1118"/>
    <mergeCell ref="I1118:K1118"/>
    <mergeCell ref="L1118:N1118"/>
    <mergeCell ref="O1118:Q1118"/>
    <mergeCell ref="R1118:T1118"/>
    <mergeCell ref="B1119:D1119"/>
    <mergeCell ref="E1119:F1119"/>
    <mergeCell ref="G1119:H1119"/>
    <mergeCell ref="I1119:K1119"/>
    <mergeCell ref="L1119:N1119"/>
    <mergeCell ref="O1119:Q1119"/>
    <mergeCell ref="R1119:T1119"/>
    <mergeCell ref="B1114:D1114"/>
    <mergeCell ref="E1114:F1114"/>
    <mergeCell ref="G1114:H1114"/>
    <mergeCell ref="I1114:K1114"/>
    <mergeCell ref="L1114:N1114"/>
    <mergeCell ref="O1114:Q1114"/>
    <mergeCell ref="R1114:T1114"/>
    <mergeCell ref="B1115:D1115"/>
    <mergeCell ref="E1115:F1115"/>
    <mergeCell ref="G1115:H1115"/>
    <mergeCell ref="I1115:K1115"/>
    <mergeCell ref="L1115:N1115"/>
    <mergeCell ref="O1115:Q1115"/>
    <mergeCell ref="R1115:T1115"/>
    <mergeCell ref="B1116:D1116"/>
    <mergeCell ref="E1116:F1116"/>
    <mergeCell ref="G1116:H1116"/>
    <mergeCell ref="I1116:K1116"/>
    <mergeCell ref="L1116:N1116"/>
    <mergeCell ref="O1116:Q1116"/>
    <mergeCell ref="R1116:T1116"/>
    <mergeCell ref="B1111:D1111"/>
    <mergeCell ref="E1111:F1111"/>
    <mergeCell ref="G1111:H1111"/>
    <mergeCell ref="I1111:K1111"/>
    <mergeCell ref="L1111:N1111"/>
    <mergeCell ref="O1111:Q1111"/>
    <mergeCell ref="R1111:T1111"/>
    <mergeCell ref="B1112:D1112"/>
    <mergeCell ref="E1112:F1112"/>
    <mergeCell ref="G1112:H1112"/>
    <mergeCell ref="I1112:K1112"/>
    <mergeCell ref="L1112:N1112"/>
    <mergeCell ref="O1112:Q1112"/>
    <mergeCell ref="R1112:T1112"/>
    <mergeCell ref="B1113:D1113"/>
    <mergeCell ref="E1113:F1113"/>
    <mergeCell ref="G1113:H1113"/>
    <mergeCell ref="I1113:K1113"/>
    <mergeCell ref="L1113:N1113"/>
    <mergeCell ref="O1113:Q1113"/>
    <mergeCell ref="R1113:T1113"/>
    <mergeCell ref="B1103:F1103"/>
    <mergeCell ref="G1103:U1103"/>
    <mergeCell ref="B1104:F1104"/>
    <mergeCell ref="G1104:U1104"/>
    <mergeCell ref="B1105:U1105"/>
    <mergeCell ref="B1106:D1109"/>
    <mergeCell ref="E1106:F1109"/>
    <mergeCell ref="G1106:U1106"/>
    <mergeCell ref="G1107:H1109"/>
    <mergeCell ref="I1107:N1107"/>
    <mergeCell ref="O1107:U1107"/>
    <mergeCell ref="I1108:K1109"/>
    <mergeCell ref="L1108:N1109"/>
    <mergeCell ref="O1108:Q1109"/>
    <mergeCell ref="R1108:T1109"/>
    <mergeCell ref="U1108:U1109"/>
    <mergeCell ref="B1110:D1110"/>
    <mergeCell ref="E1110:F1110"/>
    <mergeCell ref="G1110:H1110"/>
    <mergeCell ref="I1110:K1110"/>
    <mergeCell ref="L1110:N1110"/>
    <mergeCell ref="O1110:Q1110"/>
    <mergeCell ref="R1110:T1110"/>
    <mergeCell ref="B1088:U1088"/>
    <mergeCell ref="B1093:U1093"/>
    <mergeCell ref="B1097:F1097"/>
    <mergeCell ref="G1097:U1097"/>
    <mergeCell ref="B1098:F1098"/>
    <mergeCell ref="G1098:U1098"/>
    <mergeCell ref="B1099:F1099"/>
    <mergeCell ref="G1099:U1099"/>
    <mergeCell ref="B1100:F1100"/>
    <mergeCell ref="G1100:U1100"/>
    <mergeCell ref="B1101:F1101"/>
    <mergeCell ref="G1101:H1101"/>
    <mergeCell ref="I1101:L1101"/>
    <mergeCell ref="N1101:Q1101"/>
    <mergeCell ref="R1101:S1101"/>
    <mergeCell ref="T1101:U1101"/>
    <mergeCell ref="B1102:F1102"/>
    <mergeCell ref="G1102:H1102"/>
    <mergeCell ref="I1102:L1102"/>
    <mergeCell ref="N1102:Q1102"/>
    <mergeCell ref="R1102:U1102"/>
    <mergeCell ref="B1074:G1074"/>
    <mergeCell ref="J1074:O1074"/>
    <mergeCell ref="R1074:U1074"/>
    <mergeCell ref="B1075:G1075"/>
    <mergeCell ref="J1075:O1075"/>
    <mergeCell ref="R1075:U1075"/>
    <mergeCell ref="J1077:O1077"/>
    <mergeCell ref="C1078:F1078"/>
    <mergeCell ref="J1078:O1078"/>
    <mergeCell ref="R1078:U1078"/>
    <mergeCell ref="B1079:G1082"/>
    <mergeCell ref="J1079:O1082"/>
    <mergeCell ref="R1079:U1082"/>
    <mergeCell ref="B1083:G1083"/>
    <mergeCell ref="J1083:O1083"/>
    <mergeCell ref="R1083:U1083"/>
    <mergeCell ref="B1084:G1084"/>
    <mergeCell ref="J1084:O1084"/>
    <mergeCell ref="R1084:U1084"/>
    <mergeCell ref="B1055:C1055"/>
    <mergeCell ref="D1055:E1055"/>
    <mergeCell ref="F1055:G1055"/>
    <mergeCell ref="H1055:I1055"/>
    <mergeCell ref="J1055:K1055"/>
    <mergeCell ref="L1055:M1055"/>
    <mergeCell ref="N1055:O1055"/>
    <mergeCell ref="P1055:Q1055"/>
    <mergeCell ref="R1055:S1055"/>
    <mergeCell ref="T1055:U1055"/>
    <mergeCell ref="B1058:D1058"/>
    <mergeCell ref="E1058:U1058"/>
    <mergeCell ref="B1059:U1065"/>
    <mergeCell ref="J1068:O1068"/>
    <mergeCell ref="R1068:U1068"/>
    <mergeCell ref="B1069:G1069"/>
    <mergeCell ref="J1069:O1073"/>
    <mergeCell ref="R1069:U1073"/>
    <mergeCell ref="B1070:G1073"/>
    <mergeCell ref="B1068:G1068"/>
    <mergeCell ref="B1053:C1053"/>
    <mergeCell ref="D1053:E1053"/>
    <mergeCell ref="F1053:G1053"/>
    <mergeCell ref="H1053:I1053"/>
    <mergeCell ref="J1053:K1053"/>
    <mergeCell ref="L1053:M1053"/>
    <mergeCell ref="N1053:O1053"/>
    <mergeCell ref="P1053:Q1053"/>
    <mergeCell ref="R1053:S1053"/>
    <mergeCell ref="T1053:U1053"/>
    <mergeCell ref="B1054:C1054"/>
    <mergeCell ref="D1054:E1054"/>
    <mergeCell ref="F1054:G1054"/>
    <mergeCell ref="H1054:I1054"/>
    <mergeCell ref="J1054:K1054"/>
    <mergeCell ref="L1054:M1054"/>
    <mergeCell ref="N1054:O1054"/>
    <mergeCell ref="P1054:Q1054"/>
    <mergeCell ref="R1054:S1054"/>
    <mergeCell ref="T1054:U1054"/>
    <mergeCell ref="B1044:F1044"/>
    <mergeCell ref="G1044:H1044"/>
    <mergeCell ref="B1045:F1045"/>
    <mergeCell ref="G1045:H1045"/>
    <mergeCell ref="B1046:F1046"/>
    <mergeCell ref="G1046:H1046"/>
    <mergeCell ref="B1047:F1047"/>
    <mergeCell ref="G1047:H1047"/>
    <mergeCell ref="B1048:F1048"/>
    <mergeCell ref="G1048:H1048"/>
    <mergeCell ref="B1050:U1050"/>
    <mergeCell ref="B1051:C1052"/>
    <mergeCell ref="D1051:I1051"/>
    <mergeCell ref="J1051:O1051"/>
    <mergeCell ref="P1051:T1051"/>
    <mergeCell ref="D1052:E1052"/>
    <mergeCell ref="F1052:G1052"/>
    <mergeCell ref="H1052:I1052"/>
    <mergeCell ref="J1052:K1052"/>
    <mergeCell ref="L1052:M1052"/>
    <mergeCell ref="N1052:O1052"/>
    <mergeCell ref="P1052:Q1052"/>
    <mergeCell ref="R1052:S1052"/>
    <mergeCell ref="T1052:U1052"/>
    <mergeCell ref="B1035:F1035"/>
    <mergeCell ref="G1035:H1035"/>
    <mergeCell ref="B1036:F1036"/>
    <mergeCell ref="G1036:H1036"/>
    <mergeCell ref="B1037:F1037"/>
    <mergeCell ref="G1037:H1037"/>
    <mergeCell ref="B1038:U1038"/>
    <mergeCell ref="B1039:F1039"/>
    <mergeCell ref="G1039:H1039"/>
    <mergeCell ref="B1040:F1040"/>
    <mergeCell ref="G1040:H1040"/>
    <mergeCell ref="B1041:F1041"/>
    <mergeCell ref="G1041:H1041"/>
    <mergeCell ref="B1042:F1042"/>
    <mergeCell ref="G1042:H1042"/>
    <mergeCell ref="B1043:F1043"/>
    <mergeCell ref="G1043:H1043"/>
    <mergeCell ref="B1026:F1026"/>
    <mergeCell ref="G1026:H1026"/>
    <mergeCell ref="B1027:F1027"/>
    <mergeCell ref="G1027:H1027"/>
    <mergeCell ref="B1028:F1028"/>
    <mergeCell ref="G1028:H1028"/>
    <mergeCell ref="B1029:F1029"/>
    <mergeCell ref="G1029:H1029"/>
    <mergeCell ref="B1030:F1030"/>
    <mergeCell ref="G1030:H1030"/>
    <mergeCell ref="B1031:F1031"/>
    <mergeCell ref="G1031:H1031"/>
    <mergeCell ref="B1032:F1032"/>
    <mergeCell ref="G1032:H1032"/>
    <mergeCell ref="B1033:F1033"/>
    <mergeCell ref="G1033:H1033"/>
    <mergeCell ref="B1034:F1034"/>
    <mergeCell ref="G1034:H1034"/>
    <mergeCell ref="B1017:F1017"/>
    <mergeCell ref="G1017:H1017"/>
    <mergeCell ref="B1018:F1018"/>
    <mergeCell ref="G1018:H1018"/>
    <mergeCell ref="B1019:F1019"/>
    <mergeCell ref="G1019:H1019"/>
    <mergeCell ref="B1020:F1020"/>
    <mergeCell ref="G1020:H1020"/>
    <mergeCell ref="B1021:F1021"/>
    <mergeCell ref="G1021:H1021"/>
    <mergeCell ref="B1022:F1022"/>
    <mergeCell ref="G1022:H1022"/>
    <mergeCell ref="B1023:F1023"/>
    <mergeCell ref="G1023:H1023"/>
    <mergeCell ref="B1024:F1024"/>
    <mergeCell ref="G1024:H1024"/>
    <mergeCell ref="B1025:F1025"/>
    <mergeCell ref="G1025:H1025"/>
    <mergeCell ref="B1007:F1007"/>
    <mergeCell ref="G1007:N1007"/>
    <mergeCell ref="O1007:U1007"/>
    <mergeCell ref="B1009:F1012"/>
    <mergeCell ref="G1009:U1009"/>
    <mergeCell ref="G1010:H1012"/>
    <mergeCell ref="I1010:N1010"/>
    <mergeCell ref="O1010:U1010"/>
    <mergeCell ref="I1011:K1011"/>
    <mergeCell ref="L1011:N1011"/>
    <mergeCell ref="O1011:Q1011"/>
    <mergeCell ref="R1011:T1011"/>
    <mergeCell ref="U1011:U1012"/>
    <mergeCell ref="B1013:U1013"/>
    <mergeCell ref="B1014:F1014"/>
    <mergeCell ref="G1014:H1014"/>
    <mergeCell ref="B1015:F1015"/>
    <mergeCell ref="G1015:H1015"/>
    <mergeCell ref="B1004:D1004"/>
    <mergeCell ref="E1004:F1004"/>
    <mergeCell ref="G1004:H1004"/>
    <mergeCell ref="I1004:K1004"/>
    <mergeCell ref="L1004:N1004"/>
    <mergeCell ref="O1004:Q1004"/>
    <mergeCell ref="R1004:T1004"/>
    <mergeCell ref="B1005:D1005"/>
    <mergeCell ref="E1005:F1005"/>
    <mergeCell ref="G1005:H1005"/>
    <mergeCell ref="I1005:K1005"/>
    <mergeCell ref="L1005:N1005"/>
    <mergeCell ref="O1005:Q1005"/>
    <mergeCell ref="R1005:T1005"/>
    <mergeCell ref="B1006:D1006"/>
    <mergeCell ref="E1006:F1006"/>
    <mergeCell ref="G1006:H1006"/>
    <mergeCell ref="I1006:K1006"/>
    <mergeCell ref="L1006:N1006"/>
    <mergeCell ref="O1006:Q1006"/>
    <mergeCell ref="R1006:T1006"/>
    <mergeCell ref="B1001:D1001"/>
    <mergeCell ref="E1001:F1001"/>
    <mergeCell ref="G1001:H1001"/>
    <mergeCell ref="I1001:K1001"/>
    <mergeCell ref="L1001:N1001"/>
    <mergeCell ref="O1001:Q1001"/>
    <mergeCell ref="R1001:T1001"/>
    <mergeCell ref="B1002:D1002"/>
    <mergeCell ref="E1002:F1002"/>
    <mergeCell ref="G1002:H1002"/>
    <mergeCell ref="I1002:K1002"/>
    <mergeCell ref="L1002:N1002"/>
    <mergeCell ref="O1002:Q1002"/>
    <mergeCell ref="R1002:T1002"/>
    <mergeCell ref="B1003:D1003"/>
    <mergeCell ref="E1003:F1003"/>
    <mergeCell ref="G1003:H1003"/>
    <mergeCell ref="I1003:K1003"/>
    <mergeCell ref="L1003:N1003"/>
    <mergeCell ref="O1003:Q1003"/>
    <mergeCell ref="R1003:T1003"/>
    <mergeCell ref="B998:D998"/>
    <mergeCell ref="E998:F998"/>
    <mergeCell ref="G998:H998"/>
    <mergeCell ref="I998:K998"/>
    <mergeCell ref="L998:N998"/>
    <mergeCell ref="O998:Q998"/>
    <mergeCell ref="R998:T998"/>
    <mergeCell ref="B999:D999"/>
    <mergeCell ref="E999:F999"/>
    <mergeCell ref="G999:H999"/>
    <mergeCell ref="I999:K999"/>
    <mergeCell ref="L999:N999"/>
    <mergeCell ref="O999:Q999"/>
    <mergeCell ref="R999:T999"/>
    <mergeCell ref="B1000:D1000"/>
    <mergeCell ref="E1000:F1000"/>
    <mergeCell ref="G1000:H1000"/>
    <mergeCell ref="I1000:K1000"/>
    <mergeCell ref="L1000:N1000"/>
    <mergeCell ref="O1000:Q1000"/>
    <mergeCell ref="R1000:T1000"/>
    <mergeCell ref="B995:D995"/>
    <mergeCell ref="E995:F995"/>
    <mergeCell ref="G995:H995"/>
    <mergeCell ref="I995:K995"/>
    <mergeCell ref="L995:N995"/>
    <mergeCell ref="O995:Q995"/>
    <mergeCell ref="R995:T995"/>
    <mergeCell ref="B996:D996"/>
    <mergeCell ref="E996:F996"/>
    <mergeCell ref="G996:H996"/>
    <mergeCell ref="I996:K996"/>
    <mergeCell ref="L996:N996"/>
    <mergeCell ref="O996:Q996"/>
    <mergeCell ref="R996:T996"/>
    <mergeCell ref="B997:D997"/>
    <mergeCell ref="E997:F997"/>
    <mergeCell ref="G997:H997"/>
    <mergeCell ref="I997:K997"/>
    <mergeCell ref="L997:N997"/>
    <mergeCell ref="O997:Q997"/>
    <mergeCell ref="R997:T997"/>
    <mergeCell ref="B992:D992"/>
    <mergeCell ref="E992:F992"/>
    <mergeCell ref="G992:H992"/>
    <mergeCell ref="I992:K992"/>
    <mergeCell ref="L992:N992"/>
    <mergeCell ref="O992:Q992"/>
    <mergeCell ref="R992:T992"/>
    <mergeCell ref="B993:D993"/>
    <mergeCell ref="E993:F993"/>
    <mergeCell ref="G993:H993"/>
    <mergeCell ref="I993:K993"/>
    <mergeCell ref="L993:N993"/>
    <mergeCell ref="O993:Q993"/>
    <mergeCell ref="R993:T993"/>
    <mergeCell ref="B994:D994"/>
    <mergeCell ref="E994:F994"/>
    <mergeCell ref="G994:H994"/>
    <mergeCell ref="I994:K994"/>
    <mergeCell ref="L994:N994"/>
    <mergeCell ref="O994:Q994"/>
    <mergeCell ref="R994:T994"/>
    <mergeCell ref="B989:D989"/>
    <mergeCell ref="E989:F989"/>
    <mergeCell ref="G989:H989"/>
    <mergeCell ref="I989:K989"/>
    <mergeCell ref="L989:N989"/>
    <mergeCell ref="O989:Q989"/>
    <mergeCell ref="R989:T989"/>
    <mergeCell ref="B990:D990"/>
    <mergeCell ref="E990:F990"/>
    <mergeCell ref="G990:H990"/>
    <mergeCell ref="I990:K990"/>
    <mergeCell ref="L990:N990"/>
    <mergeCell ref="O990:Q990"/>
    <mergeCell ref="R990:T990"/>
    <mergeCell ref="B991:D991"/>
    <mergeCell ref="E991:F991"/>
    <mergeCell ref="G991:H991"/>
    <mergeCell ref="I991:K991"/>
    <mergeCell ref="L991:N991"/>
    <mergeCell ref="O991:Q991"/>
    <mergeCell ref="R991:T991"/>
    <mergeCell ref="B981:F981"/>
    <mergeCell ref="G981:U981"/>
    <mergeCell ref="B982:F982"/>
    <mergeCell ref="G982:U982"/>
    <mergeCell ref="B983:U983"/>
    <mergeCell ref="B984:D987"/>
    <mergeCell ref="E984:F987"/>
    <mergeCell ref="G984:U984"/>
    <mergeCell ref="G985:H987"/>
    <mergeCell ref="I985:N985"/>
    <mergeCell ref="O985:U985"/>
    <mergeCell ref="I986:K987"/>
    <mergeCell ref="L986:N987"/>
    <mergeCell ref="O986:Q987"/>
    <mergeCell ref="R986:T987"/>
    <mergeCell ref="U986:U987"/>
    <mergeCell ref="B988:D988"/>
    <mergeCell ref="E988:F988"/>
    <mergeCell ref="G988:H988"/>
    <mergeCell ref="I988:K988"/>
    <mergeCell ref="L988:N988"/>
    <mergeCell ref="O988:Q988"/>
    <mergeCell ref="R988:T988"/>
    <mergeCell ref="B966:U966"/>
    <mergeCell ref="B971:U971"/>
    <mergeCell ref="B975:F975"/>
    <mergeCell ref="G975:U975"/>
    <mergeCell ref="B976:F976"/>
    <mergeCell ref="G976:U976"/>
    <mergeCell ref="B977:F977"/>
    <mergeCell ref="G977:U977"/>
    <mergeCell ref="B978:F978"/>
    <mergeCell ref="G978:U978"/>
    <mergeCell ref="B979:F979"/>
    <mergeCell ref="G979:H979"/>
    <mergeCell ref="I979:L979"/>
    <mergeCell ref="N979:Q979"/>
    <mergeCell ref="R979:S979"/>
    <mergeCell ref="T979:U979"/>
    <mergeCell ref="B980:F980"/>
    <mergeCell ref="G980:H980"/>
    <mergeCell ref="I980:L980"/>
    <mergeCell ref="N980:Q980"/>
    <mergeCell ref="R980:U980"/>
    <mergeCell ref="B952:G952"/>
    <mergeCell ref="J952:O952"/>
    <mergeCell ref="R952:U952"/>
    <mergeCell ref="B953:G953"/>
    <mergeCell ref="J953:O953"/>
    <mergeCell ref="R953:U953"/>
    <mergeCell ref="J955:O955"/>
    <mergeCell ref="C956:F956"/>
    <mergeCell ref="J956:O956"/>
    <mergeCell ref="R956:U956"/>
    <mergeCell ref="B957:G960"/>
    <mergeCell ref="J957:O960"/>
    <mergeCell ref="R957:U960"/>
    <mergeCell ref="B961:G961"/>
    <mergeCell ref="J961:O961"/>
    <mergeCell ref="R961:U961"/>
    <mergeCell ref="B962:G962"/>
    <mergeCell ref="J962:O962"/>
    <mergeCell ref="R962:U962"/>
    <mergeCell ref="B933:C933"/>
    <mergeCell ref="D933:E933"/>
    <mergeCell ref="F933:G933"/>
    <mergeCell ref="H933:I933"/>
    <mergeCell ref="J933:K933"/>
    <mergeCell ref="L933:M933"/>
    <mergeCell ref="N933:O933"/>
    <mergeCell ref="P933:Q933"/>
    <mergeCell ref="R933:S933"/>
    <mergeCell ref="T933:U933"/>
    <mergeCell ref="B936:D936"/>
    <mergeCell ref="E936:U936"/>
    <mergeCell ref="B937:U943"/>
    <mergeCell ref="J946:O946"/>
    <mergeCell ref="R946:U946"/>
    <mergeCell ref="B947:G947"/>
    <mergeCell ref="J947:O951"/>
    <mergeCell ref="R947:U951"/>
    <mergeCell ref="B948:G951"/>
    <mergeCell ref="B931:C931"/>
    <mergeCell ref="D931:E931"/>
    <mergeCell ref="F931:G931"/>
    <mergeCell ref="H931:I931"/>
    <mergeCell ref="J931:K931"/>
    <mergeCell ref="L931:M931"/>
    <mergeCell ref="N931:O931"/>
    <mergeCell ref="P931:Q931"/>
    <mergeCell ref="R931:S931"/>
    <mergeCell ref="T931:U931"/>
    <mergeCell ref="B932:C932"/>
    <mergeCell ref="D932:E932"/>
    <mergeCell ref="F932:G932"/>
    <mergeCell ref="H932:I932"/>
    <mergeCell ref="J932:K932"/>
    <mergeCell ref="L932:M932"/>
    <mergeCell ref="N932:O932"/>
    <mergeCell ref="P932:Q932"/>
    <mergeCell ref="R932:S932"/>
    <mergeCell ref="T932:U932"/>
    <mergeCell ref="B922:F922"/>
    <mergeCell ref="G922:H922"/>
    <mergeCell ref="B923:F923"/>
    <mergeCell ref="G923:H923"/>
    <mergeCell ref="B924:F924"/>
    <mergeCell ref="G924:H924"/>
    <mergeCell ref="B925:F925"/>
    <mergeCell ref="G925:H925"/>
    <mergeCell ref="B926:F926"/>
    <mergeCell ref="G926:H926"/>
    <mergeCell ref="B928:U928"/>
    <mergeCell ref="B929:C930"/>
    <mergeCell ref="D929:I929"/>
    <mergeCell ref="J929:O929"/>
    <mergeCell ref="P929:T929"/>
    <mergeCell ref="D930:E930"/>
    <mergeCell ref="F930:G930"/>
    <mergeCell ref="H930:I930"/>
    <mergeCell ref="J930:K930"/>
    <mergeCell ref="L930:M930"/>
    <mergeCell ref="N930:O930"/>
    <mergeCell ref="P930:Q930"/>
    <mergeCell ref="R930:S930"/>
    <mergeCell ref="T930:U930"/>
    <mergeCell ref="B913:F913"/>
    <mergeCell ref="G913:H913"/>
    <mergeCell ref="B914:F914"/>
    <mergeCell ref="G914:H914"/>
    <mergeCell ref="B915:F915"/>
    <mergeCell ref="G915:H915"/>
    <mergeCell ref="B916:U916"/>
    <mergeCell ref="B917:F917"/>
    <mergeCell ref="G917:H917"/>
    <mergeCell ref="B918:F918"/>
    <mergeCell ref="G918:H918"/>
    <mergeCell ref="B919:F919"/>
    <mergeCell ref="G919:H919"/>
    <mergeCell ref="B920:F920"/>
    <mergeCell ref="G920:H920"/>
    <mergeCell ref="B921:F921"/>
    <mergeCell ref="G921:H921"/>
    <mergeCell ref="B904:F904"/>
    <mergeCell ref="G904:H904"/>
    <mergeCell ref="B905:F905"/>
    <mergeCell ref="G905:H905"/>
    <mergeCell ref="B906:F906"/>
    <mergeCell ref="G906:H906"/>
    <mergeCell ref="B907:F907"/>
    <mergeCell ref="G907:H907"/>
    <mergeCell ref="B908:F908"/>
    <mergeCell ref="G908:H908"/>
    <mergeCell ref="B909:F909"/>
    <mergeCell ref="G909:H909"/>
    <mergeCell ref="B910:F910"/>
    <mergeCell ref="G910:H910"/>
    <mergeCell ref="B911:F911"/>
    <mergeCell ref="G911:H911"/>
    <mergeCell ref="B912:F912"/>
    <mergeCell ref="G912:H912"/>
    <mergeCell ref="B895:F895"/>
    <mergeCell ref="G895:H895"/>
    <mergeCell ref="B896:F896"/>
    <mergeCell ref="G896:H896"/>
    <mergeCell ref="B897:F897"/>
    <mergeCell ref="G897:H897"/>
    <mergeCell ref="B898:F898"/>
    <mergeCell ref="G898:H898"/>
    <mergeCell ref="B899:F899"/>
    <mergeCell ref="G899:H899"/>
    <mergeCell ref="B900:F900"/>
    <mergeCell ref="G900:H900"/>
    <mergeCell ref="B901:F901"/>
    <mergeCell ref="G901:H901"/>
    <mergeCell ref="B902:F902"/>
    <mergeCell ref="G902:H902"/>
    <mergeCell ref="B903:F903"/>
    <mergeCell ref="G903:H903"/>
    <mergeCell ref="B885:F885"/>
    <mergeCell ref="G885:N885"/>
    <mergeCell ref="O885:U885"/>
    <mergeCell ref="B887:F890"/>
    <mergeCell ref="G887:U887"/>
    <mergeCell ref="G888:H890"/>
    <mergeCell ref="I888:N888"/>
    <mergeCell ref="O888:U888"/>
    <mergeCell ref="I889:K889"/>
    <mergeCell ref="L889:N889"/>
    <mergeCell ref="O889:Q889"/>
    <mergeCell ref="R889:T889"/>
    <mergeCell ref="U889:U890"/>
    <mergeCell ref="B891:U891"/>
    <mergeCell ref="B892:F892"/>
    <mergeCell ref="G892:H892"/>
    <mergeCell ref="B893:F893"/>
    <mergeCell ref="G893:H893"/>
    <mergeCell ref="B882:D882"/>
    <mergeCell ref="E882:F882"/>
    <mergeCell ref="G882:H882"/>
    <mergeCell ref="I882:K882"/>
    <mergeCell ref="L882:N882"/>
    <mergeCell ref="O882:Q882"/>
    <mergeCell ref="R882:T882"/>
    <mergeCell ref="B883:D883"/>
    <mergeCell ref="E883:F883"/>
    <mergeCell ref="G883:H883"/>
    <mergeCell ref="I883:K883"/>
    <mergeCell ref="L883:N883"/>
    <mergeCell ref="O883:Q883"/>
    <mergeCell ref="R883:T883"/>
    <mergeCell ref="B884:D884"/>
    <mergeCell ref="E884:F884"/>
    <mergeCell ref="G884:H884"/>
    <mergeCell ref="I884:K884"/>
    <mergeCell ref="L884:N884"/>
    <mergeCell ref="O884:Q884"/>
    <mergeCell ref="R884:T884"/>
    <mergeCell ref="B879:D879"/>
    <mergeCell ref="E879:F879"/>
    <mergeCell ref="G879:H879"/>
    <mergeCell ref="I879:K879"/>
    <mergeCell ref="L879:N879"/>
    <mergeCell ref="O879:Q879"/>
    <mergeCell ref="R879:T879"/>
    <mergeCell ref="B880:D880"/>
    <mergeCell ref="E880:F880"/>
    <mergeCell ref="G880:H880"/>
    <mergeCell ref="I880:K880"/>
    <mergeCell ref="L880:N880"/>
    <mergeCell ref="O880:Q880"/>
    <mergeCell ref="R880:T880"/>
    <mergeCell ref="B881:D881"/>
    <mergeCell ref="E881:F881"/>
    <mergeCell ref="G881:H881"/>
    <mergeCell ref="I881:K881"/>
    <mergeCell ref="L881:N881"/>
    <mergeCell ref="O881:Q881"/>
    <mergeCell ref="R881:T881"/>
    <mergeCell ref="B876:D876"/>
    <mergeCell ref="E876:F876"/>
    <mergeCell ref="G876:H876"/>
    <mergeCell ref="I876:K876"/>
    <mergeCell ref="L876:N876"/>
    <mergeCell ref="O876:Q876"/>
    <mergeCell ref="R876:T876"/>
    <mergeCell ref="B877:D877"/>
    <mergeCell ref="E877:F877"/>
    <mergeCell ref="G877:H877"/>
    <mergeCell ref="I877:K877"/>
    <mergeCell ref="L877:N877"/>
    <mergeCell ref="O877:Q877"/>
    <mergeCell ref="R877:T877"/>
    <mergeCell ref="B878:D878"/>
    <mergeCell ref="E878:F878"/>
    <mergeCell ref="G878:H878"/>
    <mergeCell ref="I878:K878"/>
    <mergeCell ref="L878:N878"/>
    <mergeCell ref="O878:Q878"/>
    <mergeCell ref="R878:T878"/>
    <mergeCell ref="B873:D873"/>
    <mergeCell ref="E873:F873"/>
    <mergeCell ref="G873:H873"/>
    <mergeCell ref="I873:K873"/>
    <mergeCell ref="L873:N873"/>
    <mergeCell ref="O873:Q873"/>
    <mergeCell ref="R873:T873"/>
    <mergeCell ref="B874:D874"/>
    <mergeCell ref="E874:F874"/>
    <mergeCell ref="G874:H874"/>
    <mergeCell ref="I874:K874"/>
    <mergeCell ref="L874:N874"/>
    <mergeCell ref="O874:Q874"/>
    <mergeCell ref="R874:T874"/>
    <mergeCell ref="B875:D875"/>
    <mergeCell ref="E875:F875"/>
    <mergeCell ref="G875:H875"/>
    <mergeCell ref="I875:K875"/>
    <mergeCell ref="L875:N875"/>
    <mergeCell ref="O875:Q875"/>
    <mergeCell ref="R875:T875"/>
    <mergeCell ref="B870:D870"/>
    <mergeCell ref="E870:F870"/>
    <mergeCell ref="G870:H870"/>
    <mergeCell ref="I870:K870"/>
    <mergeCell ref="L870:N870"/>
    <mergeCell ref="O870:Q870"/>
    <mergeCell ref="R870:T870"/>
    <mergeCell ref="B871:D871"/>
    <mergeCell ref="E871:F871"/>
    <mergeCell ref="G871:H871"/>
    <mergeCell ref="I871:K871"/>
    <mergeCell ref="L871:N871"/>
    <mergeCell ref="O871:Q871"/>
    <mergeCell ref="R871:T871"/>
    <mergeCell ref="B872:D872"/>
    <mergeCell ref="E872:F872"/>
    <mergeCell ref="G872:H872"/>
    <mergeCell ref="I872:K872"/>
    <mergeCell ref="L872:N872"/>
    <mergeCell ref="O872:Q872"/>
    <mergeCell ref="R872:T872"/>
    <mergeCell ref="B867:D867"/>
    <mergeCell ref="E867:F867"/>
    <mergeCell ref="G867:H867"/>
    <mergeCell ref="I867:K867"/>
    <mergeCell ref="L867:N867"/>
    <mergeCell ref="O867:Q867"/>
    <mergeCell ref="R867:T867"/>
    <mergeCell ref="B868:D868"/>
    <mergeCell ref="E868:F868"/>
    <mergeCell ref="G868:H868"/>
    <mergeCell ref="I868:K868"/>
    <mergeCell ref="L868:N868"/>
    <mergeCell ref="O868:Q868"/>
    <mergeCell ref="R868:T868"/>
    <mergeCell ref="B869:D869"/>
    <mergeCell ref="E869:F869"/>
    <mergeCell ref="G869:H869"/>
    <mergeCell ref="I869:K869"/>
    <mergeCell ref="L869:N869"/>
    <mergeCell ref="O869:Q869"/>
    <mergeCell ref="R869:T869"/>
    <mergeCell ref="B859:F859"/>
    <mergeCell ref="G859:U859"/>
    <mergeCell ref="B860:F860"/>
    <mergeCell ref="G860:U860"/>
    <mergeCell ref="B861:U861"/>
    <mergeCell ref="B862:D865"/>
    <mergeCell ref="E862:F865"/>
    <mergeCell ref="G862:U862"/>
    <mergeCell ref="G863:H865"/>
    <mergeCell ref="I863:N863"/>
    <mergeCell ref="O863:U863"/>
    <mergeCell ref="I864:K865"/>
    <mergeCell ref="L864:N865"/>
    <mergeCell ref="O864:Q865"/>
    <mergeCell ref="R864:T865"/>
    <mergeCell ref="U864:U865"/>
    <mergeCell ref="B866:D866"/>
    <mergeCell ref="E866:F866"/>
    <mergeCell ref="G866:H866"/>
    <mergeCell ref="I866:K866"/>
    <mergeCell ref="L866:N866"/>
    <mergeCell ref="O866:Q866"/>
    <mergeCell ref="R866:T866"/>
    <mergeCell ref="B844:U844"/>
    <mergeCell ref="B849:U849"/>
    <mergeCell ref="B853:F853"/>
    <mergeCell ref="G853:U853"/>
    <mergeCell ref="B854:F854"/>
    <mergeCell ref="G854:U854"/>
    <mergeCell ref="B855:F855"/>
    <mergeCell ref="G855:U855"/>
    <mergeCell ref="B856:F856"/>
    <mergeCell ref="G856:U856"/>
    <mergeCell ref="B857:F857"/>
    <mergeCell ref="G857:H857"/>
    <mergeCell ref="I857:L857"/>
    <mergeCell ref="N857:Q857"/>
    <mergeCell ref="R857:S857"/>
    <mergeCell ref="T857:U857"/>
    <mergeCell ref="B858:F858"/>
    <mergeCell ref="G858:H858"/>
    <mergeCell ref="I858:L858"/>
    <mergeCell ref="N858:Q858"/>
    <mergeCell ref="R858:U858"/>
    <mergeCell ref="B831:G831"/>
    <mergeCell ref="J831:O831"/>
    <mergeCell ref="R831:U831"/>
    <mergeCell ref="J834:O834"/>
    <mergeCell ref="C835:F835"/>
    <mergeCell ref="J835:O835"/>
    <mergeCell ref="R835:U835"/>
    <mergeCell ref="B836:G839"/>
    <mergeCell ref="J836:O839"/>
    <mergeCell ref="R836:U839"/>
    <mergeCell ref="B840:G840"/>
    <mergeCell ref="J840:O840"/>
    <mergeCell ref="R840:U840"/>
    <mergeCell ref="B832:G832"/>
    <mergeCell ref="J832:O832"/>
    <mergeCell ref="R832:U832"/>
    <mergeCell ref="B841:G841"/>
    <mergeCell ref="J841:O841"/>
    <mergeCell ref="R841:U841"/>
    <mergeCell ref="B812:C812"/>
    <mergeCell ref="D812:E812"/>
    <mergeCell ref="F812:G812"/>
    <mergeCell ref="H812:I812"/>
    <mergeCell ref="J812:K812"/>
    <mergeCell ref="L812:M812"/>
    <mergeCell ref="N812:O812"/>
    <mergeCell ref="P812:Q812"/>
    <mergeCell ref="R812:S812"/>
    <mergeCell ref="T812:U812"/>
    <mergeCell ref="B815:D815"/>
    <mergeCell ref="E815:U815"/>
    <mergeCell ref="B816:U822"/>
    <mergeCell ref="J825:O825"/>
    <mergeCell ref="R825:U825"/>
    <mergeCell ref="B826:G826"/>
    <mergeCell ref="J826:O830"/>
    <mergeCell ref="R826:U830"/>
    <mergeCell ref="B827:G830"/>
    <mergeCell ref="B810:C810"/>
    <mergeCell ref="D810:E810"/>
    <mergeCell ref="F810:G810"/>
    <mergeCell ref="H810:I810"/>
    <mergeCell ref="J810:K810"/>
    <mergeCell ref="L810:M810"/>
    <mergeCell ref="N810:O810"/>
    <mergeCell ref="P810:Q810"/>
    <mergeCell ref="R810:S810"/>
    <mergeCell ref="T810:U810"/>
    <mergeCell ref="B811:C811"/>
    <mergeCell ref="D811:E811"/>
    <mergeCell ref="F811:G811"/>
    <mergeCell ref="H811:I811"/>
    <mergeCell ref="J811:K811"/>
    <mergeCell ref="L811:M811"/>
    <mergeCell ref="N811:O811"/>
    <mergeCell ref="P811:Q811"/>
    <mergeCell ref="R811:S811"/>
    <mergeCell ref="T811:U811"/>
    <mergeCell ref="B801:F801"/>
    <mergeCell ref="G801:H801"/>
    <mergeCell ref="B802:F802"/>
    <mergeCell ref="G802:H802"/>
    <mergeCell ref="B803:F803"/>
    <mergeCell ref="G803:H803"/>
    <mergeCell ref="B804:F804"/>
    <mergeCell ref="G804:H804"/>
    <mergeCell ref="B805:F805"/>
    <mergeCell ref="G805:H805"/>
    <mergeCell ref="B807:U807"/>
    <mergeCell ref="B808:C809"/>
    <mergeCell ref="D808:I808"/>
    <mergeCell ref="J808:O808"/>
    <mergeCell ref="P808:T808"/>
    <mergeCell ref="D809:E809"/>
    <mergeCell ref="F809:G809"/>
    <mergeCell ref="H809:I809"/>
    <mergeCell ref="J809:K809"/>
    <mergeCell ref="L809:M809"/>
    <mergeCell ref="N809:O809"/>
    <mergeCell ref="P809:Q809"/>
    <mergeCell ref="R809:S809"/>
    <mergeCell ref="T809:U809"/>
    <mergeCell ref="B792:F792"/>
    <mergeCell ref="G792:H792"/>
    <mergeCell ref="B793:F793"/>
    <mergeCell ref="G793:H793"/>
    <mergeCell ref="B794:F794"/>
    <mergeCell ref="G794:H794"/>
    <mergeCell ref="B795:U795"/>
    <mergeCell ref="B796:F796"/>
    <mergeCell ref="G796:H796"/>
    <mergeCell ref="B797:F797"/>
    <mergeCell ref="G797:H797"/>
    <mergeCell ref="B798:F798"/>
    <mergeCell ref="G798:H798"/>
    <mergeCell ref="B799:F799"/>
    <mergeCell ref="G799:H799"/>
    <mergeCell ref="B800:F800"/>
    <mergeCell ref="G800:H800"/>
    <mergeCell ref="B783:F783"/>
    <mergeCell ref="G783:H783"/>
    <mergeCell ref="B784:F784"/>
    <mergeCell ref="G784:H784"/>
    <mergeCell ref="B785:F785"/>
    <mergeCell ref="G785:H785"/>
    <mergeCell ref="B786:F786"/>
    <mergeCell ref="G786:H786"/>
    <mergeCell ref="B787:F787"/>
    <mergeCell ref="G787:H787"/>
    <mergeCell ref="B788:F788"/>
    <mergeCell ref="G788:H788"/>
    <mergeCell ref="B789:F789"/>
    <mergeCell ref="G789:H789"/>
    <mergeCell ref="B790:F790"/>
    <mergeCell ref="G790:H790"/>
    <mergeCell ref="B791:F791"/>
    <mergeCell ref="G791:H791"/>
    <mergeCell ref="B774:F774"/>
    <mergeCell ref="G774:H774"/>
    <mergeCell ref="B775:F775"/>
    <mergeCell ref="G775:H775"/>
    <mergeCell ref="B776:F776"/>
    <mergeCell ref="G776:H776"/>
    <mergeCell ref="B777:F777"/>
    <mergeCell ref="G777:H777"/>
    <mergeCell ref="B778:F778"/>
    <mergeCell ref="G778:H778"/>
    <mergeCell ref="B779:F779"/>
    <mergeCell ref="G779:H779"/>
    <mergeCell ref="B780:F780"/>
    <mergeCell ref="G780:H780"/>
    <mergeCell ref="B781:F781"/>
    <mergeCell ref="G781:H781"/>
    <mergeCell ref="B782:F782"/>
    <mergeCell ref="G782:H782"/>
    <mergeCell ref="B764:F764"/>
    <mergeCell ref="G764:N764"/>
    <mergeCell ref="O764:U764"/>
    <mergeCell ref="B766:F769"/>
    <mergeCell ref="G766:U766"/>
    <mergeCell ref="G767:H769"/>
    <mergeCell ref="I767:N767"/>
    <mergeCell ref="O767:U767"/>
    <mergeCell ref="I768:K768"/>
    <mergeCell ref="L768:N768"/>
    <mergeCell ref="O768:Q768"/>
    <mergeCell ref="R768:T768"/>
    <mergeCell ref="U768:U769"/>
    <mergeCell ref="B770:U770"/>
    <mergeCell ref="B771:F771"/>
    <mergeCell ref="G771:H771"/>
    <mergeCell ref="B772:F772"/>
    <mergeCell ref="G772:H772"/>
    <mergeCell ref="B761:D761"/>
    <mergeCell ref="E761:F761"/>
    <mergeCell ref="G761:H761"/>
    <mergeCell ref="I761:K761"/>
    <mergeCell ref="L761:N761"/>
    <mergeCell ref="O761:Q761"/>
    <mergeCell ref="R761:T761"/>
    <mergeCell ref="B762:D762"/>
    <mergeCell ref="E762:F762"/>
    <mergeCell ref="G762:H762"/>
    <mergeCell ref="I762:K762"/>
    <mergeCell ref="L762:N762"/>
    <mergeCell ref="O762:Q762"/>
    <mergeCell ref="R762:T762"/>
    <mergeCell ref="B763:D763"/>
    <mergeCell ref="E763:F763"/>
    <mergeCell ref="G763:H763"/>
    <mergeCell ref="I763:K763"/>
    <mergeCell ref="L763:N763"/>
    <mergeCell ref="O763:Q763"/>
    <mergeCell ref="R763:T763"/>
    <mergeCell ref="B758:D758"/>
    <mergeCell ref="E758:F758"/>
    <mergeCell ref="G758:H758"/>
    <mergeCell ref="I758:K758"/>
    <mergeCell ref="L758:N758"/>
    <mergeCell ref="O758:Q758"/>
    <mergeCell ref="R758:T758"/>
    <mergeCell ref="B759:D759"/>
    <mergeCell ref="E759:F759"/>
    <mergeCell ref="G759:H759"/>
    <mergeCell ref="I759:K759"/>
    <mergeCell ref="L759:N759"/>
    <mergeCell ref="O759:Q759"/>
    <mergeCell ref="R759:T759"/>
    <mergeCell ref="B760:D760"/>
    <mergeCell ref="E760:F760"/>
    <mergeCell ref="G760:H760"/>
    <mergeCell ref="I760:K760"/>
    <mergeCell ref="L760:N760"/>
    <mergeCell ref="O760:Q760"/>
    <mergeCell ref="R760:T760"/>
    <mergeCell ref="B755:D755"/>
    <mergeCell ref="E755:F755"/>
    <mergeCell ref="G755:H755"/>
    <mergeCell ref="I755:K755"/>
    <mergeCell ref="L755:N755"/>
    <mergeCell ref="O755:Q755"/>
    <mergeCell ref="R755:T755"/>
    <mergeCell ref="B756:D756"/>
    <mergeCell ref="E756:F756"/>
    <mergeCell ref="G756:H756"/>
    <mergeCell ref="I756:K756"/>
    <mergeCell ref="L756:N756"/>
    <mergeCell ref="O756:Q756"/>
    <mergeCell ref="R756:T756"/>
    <mergeCell ref="B757:D757"/>
    <mergeCell ref="E757:F757"/>
    <mergeCell ref="G757:H757"/>
    <mergeCell ref="I757:K757"/>
    <mergeCell ref="L757:N757"/>
    <mergeCell ref="O757:Q757"/>
    <mergeCell ref="R757:T757"/>
    <mergeCell ref="B752:D752"/>
    <mergeCell ref="E752:F752"/>
    <mergeCell ref="G752:H752"/>
    <mergeCell ref="I752:K752"/>
    <mergeCell ref="L752:N752"/>
    <mergeCell ref="O752:Q752"/>
    <mergeCell ref="R752:T752"/>
    <mergeCell ref="B753:D753"/>
    <mergeCell ref="E753:F753"/>
    <mergeCell ref="G753:H753"/>
    <mergeCell ref="I753:K753"/>
    <mergeCell ref="L753:N753"/>
    <mergeCell ref="O753:Q753"/>
    <mergeCell ref="R753:T753"/>
    <mergeCell ref="B754:D754"/>
    <mergeCell ref="E754:F754"/>
    <mergeCell ref="G754:H754"/>
    <mergeCell ref="I754:K754"/>
    <mergeCell ref="L754:N754"/>
    <mergeCell ref="O754:Q754"/>
    <mergeCell ref="R754:T754"/>
    <mergeCell ref="B749:D749"/>
    <mergeCell ref="E749:F749"/>
    <mergeCell ref="G749:H749"/>
    <mergeCell ref="I749:K749"/>
    <mergeCell ref="L749:N749"/>
    <mergeCell ref="O749:Q749"/>
    <mergeCell ref="R749:T749"/>
    <mergeCell ref="B750:D750"/>
    <mergeCell ref="E750:F750"/>
    <mergeCell ref="G750:H750"/>
    <mergeCell ref="I750:K750"/>
    <mergeCell ref="L750:N750"/>
    <mergeCell ref="O750:Q750"/>
    <mergeCell ref="R750:T750"/>
    <mergeCell ref="B751:D751"/>
    <mergeCell ref="E751:F751"/>
    <mergeCell ref="G751:H751"/>
    <mergeCell ref="I751:K751"/>
    <mergeCell ref="L751:N751"/>
    <mergeCell ref="O751:Q751"/>
    <mergeCell ref="R751:T751"/>
    <mergeCell ref="B746:D746"/>
    <mergeCell ref="E746:F746"/>
    <mergeCell ref="G746:H746"/>
    <mergeCell ref="I746:K746"/>
    <mergeCell ref="L746:N746"/>
    <mergeCell ref="O746:Q746"/>
    <mergeCell ref="R746:T746"/>
    <mergeCell ref="B747:D747"/>
    <mergeCell ref="E747:F747"/>
    <mergeCell ref="G747:H747"/>
    <mergeCell ref="I747:K747"/>
    <mergeCell ref="L747:N747"/>
    <mergeCell ref="O747:Q747"/>
    <mergeCell ref="R747:T747"/>
    <mergeCell ref="B748:D748"/>
    <mergeCell ref="E748:F748"/>
    <mergeCell ref="G748:H748"/>
    <mergeCell ref="I748:K748"/>
    <mergeCell ref="L748:N748"/>
    <mergeCell ref="O748:Q748"/>
    <mergeCell ref="R748:T748"/>
    <mergeCell ref="B738:F738"/>
    <mergeCell ref="G738:U738"/>
    <mergeCell ref="B739:F739"/>
    <mergeCell ref="G739:U739"/>
    <mergeCell ref="B740:U740"/>
    <mergeCell ref="B741:D744"/>
    <mergeCell ref="E741:F744"/>
    <mergeCell ref="G741:U741"/>
    <mergeCell ref="G742:H744"/>
    <mergeCell ref="I742:N742"/>
    <mergeCell ref="O742:U742"/>
    <mergeCell ref="I743:K744"/>
    <mergeCell ref="L743:N744"/>
    <mergeCell ref="O743:Q744"/>
    <mergeCell ref="R743:T744"/>
    <mergeCell ref="U743:U744"/>
    <mergeCell ref="B745:D745"/>
    <mergeCell ref="E745:F745"/>
    <mergeCell ref="G745:H745"/>
    <mergeCell ref="I745:K745"/>
    <mergeCell ref="L745:N745"/>
    <mergeCell ref="O745:Q745"/>
    <mergeCell ref="R745:T745"/>
    <mergeCell ref="B723:U723"/>
    <mergeCell ref="B728:U728"/>
    <mergeCell ref="B732:F732"/>
    <mergeCell ref="G732:U732"/>
    <mergeCell ref="B733:F733"/>
    <mergeCell ref="G733:U733"/>
    <mergeCell ref="B734:F734"/>
    <mergeCell ref="G734:U734"/>
    <mergeCell ref="B735:F735"/>
    <mergeCell ref="G735:U735"/>
    <mergeCell ref="B736:F736"/>
    <mergeCell ref="G736:H736"/>
    <mergeCell ref="I736:L736"/>
    <mergeCell ref="N736:Q736"/>
    <mergeCell ref="R736:S736"/>
    <mergeCell ref="T736:U736"/>
    <mergeCell ref="B737:F737"/>
    <mergeCell ref="G737:H737"/>
    <mergeCell ref="I737:L737"/>
    <mergeCell ref="N737:Q737"/>
    <mergeCell ref="R737:U737"/>
    <mergeCell ref="F451:G451"/>
    <mergeCell ref="H451:I451"/>
    <mergeCell ref="J451:K451"/>
    <mergeCell ref="L451:M451"/>
    <mergeCell ref="N451:O451"/>
    <mergeCell ref="P451:Q451"/>
    <mergeCell ref="R451:S451"/>
    <mergeCell ref="T451:U451"/>
    <mergeCell ref="B454:D454"/>
    <mergeCell ref="E454:U454"/>
    <mergeCell ref="B455:U461"/>
    <mergeCell ref="J464:O464"/>
    <mergeCell ref="R464:U464"/>
    <mergeCell ref="B465:G465"/>
    <mergeCell ref="J465:O469"/>
    <mergeCell ref="R465:U469"/>
    <mergeCell ref="B466:G469"/>
    <mergeCell ref="P447:T447"/>
    <mergeCell ref="D448:E448"/>
    <mergeCell ref="F448:G448"/>
    <mergeCell ref="H448:I448"/>
    <mergeCell ref="J448:K448"/>
    <mergeCell ref="L448:M448"/>
    <mergeCell ref="N448:O448"/>
    <mergeCell ref="P448:Q448"/>
    <mergeCell ref="R448:S448"/>
    <mergeCell ref="T448:U448"/>
    <mergeCell ref="B449:C449"/>
    <mergeCell ref="D449:E449"/>
    <mergeCell ref="F449:G449"/>
    <mergeCell ref="H449:I449"/>
    <mergeCell ref="J449:K449"/>
    <mergeCell ref="L449:M449"/>
    <mergeCell ref="N449:O449"/>
    <mergeCell ref="P449:Q449"/>
    <mergeCell ref="R449:S449"/>
    <mergeCell ref="T449:U449"/>
    <mergeCell ref="B409:U409"/>
    <mergeCell ref="B410:F410"/>
    <mergeCell ref="B411:F411"/>
    <mergeCell ref="B413:F413"/>
    <mergeCell ref="B414:F414"/>
    <mergeCell ref="B415:F415"/>
    <mergeCell ref="B416:F416"/>
    <mergeCell ref="B384:D384"/>
    <mergeCell ref="E384:F384"/>
    <mergeCell ref="G384:H384"/>
    <mergeCell ref="I384:K384"/>
    <mergeCell ref="L384:N384"/>
    <mergeCell ref="O384:Q384"/>
    <mergeCell ref="R384:T384"/>
    <mergeCell ref="I382:K383"/>
    <mergeCell ref="L382:N383"/>
    <mergeCell ref="O382:Q383"/>
    <mergeCell ref="R382:T383"/>
    <mergeCell ref="B387:D387"/>
    <mergeCell ref="E387:F387"/>
    <mergeCell ref="G387:H387"/>
    <mergeCell ref="I387:K387"/>
    <mergeCell ref="L387:N387"/>
    <mergeCell ref="O387:Q387"/>
    <mergeCell ref="R387:T387"/>
    <mergeCell ref="B388:D388"/>
    <mergeCell ref="E388:F388"/>
    <mergeCell ref="G388:H388"/>
    <mergeCell ref="I388:K388"/>
    <mergeCell ref="L388:N388"/>
    <mergeCell ref="O388:Q388"/>
    <mergeCell ref="R388:T388"/>
    <mergeCell ref="J353:O353"/>
    <mergeCell ref="C354:F354"/>
    <mergeCell ref="J354:O354"/>
    <mergeCell ref="R354:U354"/>
    <mergeCell ref="B355:G358"/>
    <mergeCell ref="J355:O358"/>
    <mergeCell ref="R355:U358"/>
    <mergeCell ref="U382:U383"/>
    <mergeCell ref="B403:F403"/>
    <mergeCell ref="G403:N403"/>
    <mergeCell ref="O403:U403"/>
    <mergeCell ref="B405:F408"/>
    <mergeCell ref="G405:U405"/>
    <mergeCell ref="G406:H408"/>
    <mergeCell ref="I406:N406"/>
    <mergeCell ref="O406:U406"/>
    <mergeCell ref="U407:U408"/>
    <mergeCell ref="B367:U367"/>
    <mergeCell ref="G374:U374"/>
    <mergeCell ref="R375:S375"/>
    <mergeCell ref="T375:U375"/>
    <mergeCell ref="G376:H376"/>
    <mergeCell ref="I376:L376"/>
    <mergeCell ref="N376:Q376"/>
    <mergeCell ref="R376:U376"/>
    <mergeCell ref="B378:F378"/>
    <mergeCell ref="G378:U378"/>
    <mergeCell ref="B379:U379"/>
    <mergeCell ref="B380:D383"/>
    <mergeCell ref="E380:F383"/>
    <mergeCell ref="G380:U380"/>
    <mergeCell ref="G381:H383"/>
    <mergeCell ref="L331:M331"/>
    <mergeCell ref="N331:O331"/>
    <mergeCell ref="P331:Q331"/>
    <mergeCell ref="R331:S331"/>
    <mergeCell ref="T331:U331"/>
    <mergeCell ref="B334:D334"/>
    <mergeCell ref="E334:U334"/>
    <mergeCell ref="B335:U341"/>
    <mergeCell ref="J344:O344"/>
    <mergeCell ref="R344:U344"/>
    <mergeCell ref="B345:G345"/>
    <mergeCell ref="J345:O349"/>
    <mergeCell ref="R345:U349"/>
    <mergeCell ref="B346:G349"/>
    <mergeCell ref="B350:G350"/>
    <mergeCell ref="J350:O350"/>
    <mergeCell ref="R350:U350"/>
    <mergeCell ref="B247:U247"/>
    <mergeCell ref="G253:U253"/>
    <mergeCell ref="G254:U254"/>
    <mergeCell ref="G255:H255"/>
    <mergeCell ref="I255:L255"/>
    <mergeCell ref="N255:Q255"/>
    <mergeCell ref="R255:S255"/>
    <mergeCell ref="T255:U255"/>
    <mergeCell ref="G256:H256"/>
    <mergeCell ref="I256:L256"/>
    <mergeCell ref="N256:Q256"/>
    <mergeCell ref="R256:U256"/>
    <mergeCell ref="B257:F257"/>
    <mergeCell ref="G257:U257"/>
    <mergeCell ref="B258:F258"/>
    <mergeCell ref="B259:U259"/>
    <mergeCell ref="B260:D263"/>
    <mergeCell ref="E260:F263"/>
    <mergeCell ref="G260:U260"/>
    <mergeCell ref="G261:H263"/>
    <mergeCell ref="I261:N261"/>
    <mergeCell ref="O261:U261"/>
    <mergeCell ref="I262:K263"/>
    <mergeCell ref="L262:N263"/>
    <mergeCell ref="O262:Q263"/>
    <mergeCell ref="R262:T263"/>
    <mergeCell ref="U262:U263"/>
    <mergeCell ref="B256:F256"/>
    <mergeCell ref="G258:U258"/>
    <mergeCell ref="F209:G209"/>
    <mergeCell ref="H209:I209"/>
    <mergeCell ref="J209:K209"/>
    <mergeCell ref="L209:M209"/>
    <mergeCell ref="N209:O209"/>
    <mergeCell ref="P209:Q209"/>
    <mergeCell ref="R209:S209"/>
    <mergeCell ref="T209:U209"/>
    <mergeCell ref="B212:D212"/>
    <mergeCell ref="E212:U212"/>
    <mergeCell ref="B213:U219"/>
    <mergeCell ref="J222:O222"/>
    <mergeCell ref="R222:U222"/>
    <mergeCell ref="B223:G223"/>
    <mergeCell ref="J223:O227"/>
    <mergeCell ref="R223:U227"/>
    <mergeCell ref="B224:G227"/>
    <mergeCell ref="B209:C209"/>
    <mergeCell ref="D209:E209"/>
    <mergeCell ref="P205:T205"/>
    <mergeCell ref="D206:E206"/>
    <mergeCell ref="F206:G206"/>
    <mergeCell ref="H206:I206"/>
    <mergeCell ref="J206:K206"/>
    <mergeCell ref="L206:M206"/>
    <mergeCell ref="N206:O206"/>
    <mergeCell ref="P206:Q206"/>
    <mergeCell ref="R206:S206"/>
    <mergeCell ref="T206:U206"/>
    <mergeCell ref="B207:C207"/>
    <mergeCell ref="D207:E207"/>
    <mergeCell ref="F207:G207"/>
    <mergeCell ref="H207:I207"/>
    <mergeCell ref="J207:K207"/>
    <mergeCell ref="L207:M207"/>
    <mergeCell ref="N207:O207"/>
    <mergeCell ref="P207:Q207"/>
    <mergeCell ref="R207:S207"/>
    <mergeCell ref="T207:U207"/>
    <mergeCell ref="B129:F129"/>
    <mergeCell ref="G129:U129"/>
    <mergeCell ref="B130:F130"/>
    <mergeCell ref="O164:U164"/>
    <mergeCell ref="U165:U166"/>
    <mergeCell ref="B167:U167"/>
    <mergeCell ref="B168:F168"/>
    <mergeCell ref="B170:F170"/>
    <mergeCell ref="B171:F171"/>
    <mergeCell ref="B172:F172"/>
    <mergeCell ref="B173:F173"/>
    <mergeCell ref="B174:F174"/>
    <mergeCell ref="B175:F175"/>
    <mergeCell ref="B176:F176"/>
    <mergeCell ref="B177:F177"/>
    <mergeCell ref="I165:K165"/>
    <mergeCell ref="L165:N165"/>
    <mergeCell ref="O165:Q165"/>
    <mergeCell ref="R165:T165"/>
    <mergeCell ref="B163:F166"/>
    <mergeCell ref="G163:U163"/>
    <mergeCell ref="G164:H166"/>
    <mergeCell ref="I164:N164"/>
    <mergeCell ref="G170:H170"/>
    <mergeCell ref="G171:H171"/>
    <mergeCell ref="G168:H168"/>
    <mergeCell ref="G174:H174"/>
    <mergeCell ref="G175:H175"/>
    <mergeCell ref="G172:H172"/>
    <mergeCell ref="G173:H173"/>
    <mergeCell ref="G131:U131"/>
    <mergeCell ref="B132:F132"/>
    <mergeCell ref="B125:U125"/>
    <mergeCell ref="G132:U132"/>
    <mergeCell ref="R133:S133"/>
    <mergeCell ref="T133:U133"/>
    <mergeCell ref="G134:H134"/>
    <mergeCell ref="I134:L134"/>
    <mergeCell ref="N134:Q134"/>
    <mergeCell ref="R134:U134"/>
    <mergeCell ref="B133:F133"/>
    <mergeCell ref="G133:H133"/>
    <mergeCell ref="I133:L133"/>
    <mergeCell ref="N133:Q133"/>
    <mergeCell ref="B134:F134"/>
    <mergeCell ref="B107:G107"/>
    <mergeCell ref="J107:O107"/>
    <mergeCell ref="R107:U107"/>
    <mergeCell ref="B102:G102"/>
    <mergeCell ref="J102:O106"/>
    <mergeCell ref="R102:U106"/>
    <mergeCell ref="B103:G106"/>
    <mergeCell ref="J110:O110"/>
    <mergeCell ref="J116:O116"/>
    <mergeCell ref="B116:G116"/>
    <mergeCell ref="R116:U116"/>
    <mergeCell ref="J111:O111"/>
    <mergeCell ref="B112:G115"/>
    <mergeCell ref="C111:F111"/>
    <mergeCell ref="R111:U111"/>
    <mergeCell ref="J112:O115"/>
    <mergeCell ref="R112:U115"/>
    <mergeCell ref="G130:U130"/>
    <mergeCell ref="B131:F131"/>
    <mergeCell ref="L32:N32"/>
    <mergeCell ref="O32:Q32"/>
    <mergeCell ref="R32:T32"/>
    <mergeCell ref="O33:Q33"/>
    <mergeCell ref="R33:T33"/>
    <mergeCell ref="B38:D38"/>
    <mergeCell ref="E38:F38"/>
    <mergeCell ref="G38:H38"/>
    <mergeCell ref="I38:K38"/>
    <mergeCell ref="L38:N38"/>
    <mergeCell ref="O38:Q38"/>
    <mergeCell ref="R38:T38"/>
    <mergeCell ref="B35:D35"/>
    <mergeCell ref="E35:F35"/>
    <mergeCell ref="G35:H35"/>
    <mergeCell ref="I35:K35"/>
    <mergeCell ref="L35:N35"/>
    <mergeCell ref="O35:Q35"/>
    <mergeCell ref="R35:T35"/>
    <mergeCell ref="R37:T37"/>
    <mergeCell ref="B36:D36"/>
    <mergeCell ref="E36:F36"/>
    <mergeCell ref="R34:T34"/>
    <mergeCell ref="E37:F37"/>
    <mergeCell ref="G37:H37"/>
    <mergeCell ref="I37:K37"/>
    <mergeCell ref="L37:N37"/>
    <mergeCell ref="O37:Q37"/>
    <mergeCell ref="E21:F21"/>
    <mergeCell ref="G21:H21"/>
    <mergeCell ref="I21:K21"/>
    <mergeCell ref="L21:N21"/>
    <mergeCell ref="O21:Q21"/>
    <mergeCell ref="R21:T21"/>
    <mergeCell ref="B26:D26"/>
    <mergeCell ref="E26:F26"/>
    <mergeCell ref="G26:H26"/>
    <mergeCell ref="I26:K26"/>
    <mergeCell ref="L26:N26"/>
    <mergeCell ref="O26:Q26"/>
    <mergeCell ref="R26:T26"/>
    <mergeCell ref="B22:D22"/>
    <mergeCell ref="E22:F22"/>
    <mergeCell ref="G22:H22"/>
    <mergeCell ref="I22:K22"/>
    <mergeCell ref="L22:N22"/>
    <mergeCell ref="O22:Q22"/>
    <mergeCell ref="R22:T22"/>
    <mergeCell ref="R25:T25"/>
    <mergeCell ref="R24:T24"/>
    <mergeCell ref="B24:D24"/>
    <mergeCell ref="E24:F24"/>
    <mergeCell ref="O24:Q24"/>
    <mergeCell ref="B25:D25"/>
    <mergeCell ref="E25:F25"/>
    <mergeCell ref="G25:H25"/>
    <mergeCell ref="I25:K25"/>
    <mergeCell ref="B23:D23"/>
    <mergeCell ref="E23:F23"/>
    <mergeCell ref="G23:H23"/>
    <mergeCell ref="P86:Q86"/>
    <mergeCell ref="R86:S86"/>
    <mergeCell ref="T86:U86"/>
    <mergeCell ref="B87:C87"/>
    <mergeCell ref="D87:E87"/>
    <mergeCell ref="F87:G87"/>
    <mergeCell ref="H87:I87"/>
    <mergeCell ref="J87:K87"/>
    <mergeCell ref="L87:M87"/>
    <mergeCell ref="B86:C86"/>
    <mergeCell ref="D86:E86"/>
    <mergeCell ref="F86:G86"/>
    <mergeCell ref="H86:I86"/>
    <mergeCell ref="J86:K86"/>
    <mergeCell ref="L86:M86"/>
    <mergeCell ref="J101:O101"/>
    <mergeCell ref="R101:U101"/>
    <mergeCell ref="P88:Q88"/>
    <mergeCell ref="R88:S88"/>
    <mergeCell ref="T88:U88"/>
    <mergeCell ref="B91:D91"/>
    <mergeCell ref="E91:U91"/>
    <mergeCell ref="B92:U98"/>
    <mergeCell ref="D88:E88"/>
    <mergeCell ref="F88:G88"/>
    <mergeCell ref="H88:I88"/>
    <mergeCell ref="J88:K88"/>
    <mergeCell ref="L88:M88"/>
    <mergeCell ref="N88:O88"/>
    <mergeCell ref="N86:O86"/>
    <mergeCell ref="N87:O87"/>
    <mergeCell ref="P87:Q87"/>
    <mergeCell ref="J85:K85"/>
    <mergeCell ref="L85:M85"/>
    <mergeCell ref="N85:O85"/>
    <mergeCell ref="P85:Q85"/>
    <mergeCell ref="R85:S85"/>
    <mergeCell ref="T85:U85"/>
    <mergeCell ref="B81:F81"/>
    <mergeCell ref="G81:H81"/>
    <mergeCell ref="B83:U83"/>
    <mergeCell ref="B84:C85"/>
    <mergeCell ref="D84:I84"/>
    <mergeCell ref="J84:O84"/>
    <mergeCell ref="P84:T84"/>
    <mergeCell ref="B65:F65"/>
    <mergeCell ref="G65:H65"/>
    <mergeCell ref="B66:F66"/>
    <mergeCell ref="G66:H66"/>
    <mergeCell ref="B69:F69"/>
    <mergeCell ref="G69:H69"/>
    <mergeCell ref="B70:F70"/>
    <mergeCell ref="B80:F80"/>
    <mergeCell ref="G80:H80"/>
    <mergeCell ref="B71:U71"/>
    <mergeCell ref="G72:H72"/>
    <mergeCell ref="G73:H73"/>
    <mergeCell ref="B75:F75"/>
    <mergeCell ref="B78:F78"/>
    <mergeCell ref="G78:H78"/>
    <mergeCell ref="B79:F79"/>
    <mergeCell ref="G79:H79"/>
    <mergeCell ref="R87:S87"/>
    <mergeCell ref="T87:U87"/>
    <mergeCell ref="R29:T29"/>
    <mergeCell ref="B30:D30"/>
    <mergeCell ref="E30:F30"/>
    <mergeCell ref="G30:H30"/>
    <mergeCell ref="I30:K30"/>
    <mergeCell ref="L30:N30"/>
    <mergeCell ref="O30:Q30"/>
    <mergeCell ref="R30:T30"/>
    <mergeCell ref="B31:D31"/>
    <mergeCell ref="E31:F31"/>
    <mergeCell ref="G31:H31"/>
    <mergeCell ref="I31:K31"/>
    <mergeCell ref="L31:N31"/>
    <mergeCell ref="O31:Q31"/>
    <mergeCell ref="R31:T31"/>
    <mergeCell ref="R44:T44"/>
    <mergeCell ref="U44:U45"/>
    <mergeCell ref="B46:U46"/>
    <mergeCell ref="B47:F47"/>
    <mergeCell ref="G47:H47"/>
    <mergeCell ref="B49:F49"/>
    <mergeCell ref="D85:E85"/>
    <mergeCell ref="F85:G85"/>
    <mergeCell ref="H85:I85"/>
    <mergeCell ref="G56:H56"/>
    <mergeCell ref="B54:F54"/>
    <mergeCell ref="G54:H54"/>
    <mergeCell ref="G49:H49"/>
    <mergeCell ref="B58:F58"/>
    <mergeCell ref="G58:H58"/>
    <mergeCell ref="B64:F64"/>
    <mergeCell ref="G64:H64"/>
    <mergeCell ref="B67:F67"/>
    <mergeCell ref="G67:H67"/>
    <mergeCell ref="B63:F63"/>
    <mergeCell ref="G63:H63"/>
    <mergeCell ref="B68:F68"/>
    <mergeCell ref="G68:H68"/>
    <mergeCell ref="B62:F62"/>
    <mergeCell ref="G62:H62"/>
    <mergeCell ref="O44:Q44"/>
    <mergeCell ref="G70:H70"/>
    <mergeCell ref="B72:F72"/>
    <mergeCell ref="B73:F73"/>
    <mergeCell ref="B76:F76"/>
    <mergeCell ref="G76:H76"/>
    <mergeCell ref="B77:F77"/>
    <mergeCell ref="G77:H77"/>
    <mergeCell ref="G75:H75"/>
    <mergeCell ref="B53:F53"/>
    <mergeCell ref="G53:H53"/>
    <mergeCell ref="B55:F55"/>
    <mergeCell ref="G55:H55"/>
    <mergeCell ref="B56:F56"/>
    <mergeCell ref="B51:F51"/>
    <mergeCell ref="G51:H51"/>
    <mergeCell ref="B52:F52"/>
    <mergeCell ref="G52:H52"/>
    <mergeCell ref="B15:F15"/>
    <mergeCell ref="G15:U15"/>
    <mergeCell ref="B16:U16"/>
    <mergeCell ref="B17:D20"/>
    <mergeCell ref="E17:F20"/>
    <mergeCell ref="G17:U17"/>
    <mergeCell ref="G18:H20"/>
    <mergeCell ref="I18:N18"/>
    <mergeCell ref="O18:U18"/>
    <mergeCell ref="I19:K20"/>
    <mergeCell ref="L19:N20"/>
    <mergeCell ref="O19:Q20"/>
    <mergeCell ref="R19:T20"/>
    <mergeCell ref="U19:U20"/>
    <mergeCell ref="R39:T39"/>
    <mergeCell ref="B37:D37"/>
    <mergeCell ref="B42:F45"/>
    <mergeCell ref="G42:U42"/>
    <mergeCell ref="G43:H45"/>
    <mergeCell ref="I43:N43"/>
    <mergeCell ref="O43:U43"/>
    <mergeCell ref="B34:D34"/>
    <mergeCell ref="E34:F34"/>
    <mergeCell ref="O25:Q25"/>
    <mergeCell ref="G34:H34"/>
    <mergeCell ref="I34:K34"/>
    <mergeCell ref="L34:N34"/>
    <mergeCell ref="O34:Q34"/>
    <mergeCell ref="E29:F29"/>
    <mergeCell ref="G29:H29"/>
    <mergeCell ref="I29:K29"/>
    <mergeCell ref="L29:N29"/>
    <mergeCell ref="I23:K23"/>
    <mergeCell ref="L23:N23"/>
    <mergeCell ref="O23:Q23"/>
    <mergeCell ref="R23:T23"/>
    <mergeCell ref="B21:D21"/>
    <mergeCell ref="B74:F74"/>
    <mergeCell ref="G74:H74"/>
    <mergeCell ref="L25:N25"/>
    <mergeCell ref="B39:D39"/>
    <mergeCell ref="E39:F39"/>
    <mergeCell ref="G39:H39"/>
    <mergeCell ref="I39:K39"/>
    <mergeCell ref="L39:N39"/>
    <mergeCell ref="I44:K44"/>
    <mergeCell ref="L44:N44"/>
    <mergeCell ref="B48:F48"/>
    <mergeCell ref="G48:H48"/>
    <mergeCell ref="G60:H60"/>
    <mergeCell ref="B59:F59"/>
    <mergeCell ref="G59:H59"/>
    <mergeCell ref="B57:F57"/>
    <mergeCell ref="G57:H57"/>
    <mergeCell ref="B61:F61"/>
    <mergeCell ref="G61:H61"/>
    <mergeCell ref="B50:F50"/>
    <mergeCell ref="G50:H50"/>
    <mergeCell ref="O29:Q29"/>
    <mergeCell ref="B33:D33"/>
    <mergeCell ref="E33:F33"/>
    <mergeCell ref="G33:H33"/>
    <mergeCell ref="B60:F60"/>
    <mergeCell ref="O39:Q39"/>
    <mergeCell ref="G24:H24"/>
    <mergeCell ref="I24:K24"/>
    <mergeCell ref="L24:N24"/>
    <mergeCell ref="B40:F40"/>
    <mergeCell ref="G40:N40"/>
    <mergeCell ref="O40:U40"/>
    <mergeCell ref="L28:N28"/>
    <mergeCell ref="O28:Q28"/>
    <mergeCell ref="R28:T28"/>
    <mergeCell ref="B29:D29"/>
    <mergeCell ref="G36:H36"/>
    <mergeCell ref="I36:K36"/>
    <mergeCell ref="L36:N36"/>
    <mergeCell ref="O36:Q36"/>
    <mergeCell ref="R36:T36"/>
    <mergeCell ref="B27:D27"/>
    <mergeCell ref="E27:F27"/>
    <mergeCell ref="G27:H27"/>
    <mergeCell ref="I27:K27"/>
    <mergeCell ref="L27:N27"/>
    <mergeCell ref="O27:Q27"/>
    <mergeCell ref="R27:T27"/>
    <mergeCell ref="B28:D28"/>
    <mergeCell ref="E28:F28"/>
    <mergeCell ref="G28:H28"/>
    <mergeCell ref="I28:K28"/>
    <mergeCell ref="I33:K33"/>
    <mergeCell ref="L33:N33"/>
    <mergeCell ref="B32:D32"/>
    <mergeCell ref="E32:F32"/>
    <mergeCell ref="G32:H32"/>
    <mergeCell ref="I32:K32"/>
    <mergeCell ref="B4:U4"/>
    <mergeCell ref="B8:F8"/>
    <mergeCell ref="G8:U8"/>
    <mergeCell ref="B9:F9"/>
    <mergeCell ref="G9:U9"/>
    <mergeCell ref="B10:F10"/>
    <mergeCell ref="G10:U10"/>
    <mergeCell ref="B13:F13"/>
    <mergeCell ref="G13:H13"/>
    <mergeCell ref="I13:L13"/>
    <mergeCell ref="N13:Q13"/>
    <mergeCell ref="R13:U13"/>
    <mergeCell ref="B14:F14"/>
    <mergeCell ref="G14:U14"/>
    <mergeCell ref="B11:F11"/>
    <mergeCell ref="G11:U11"/>
    <mergeCell ref="B12:F12"/>
    <mergeCell ref="G12:H12"/>
    <mergeCell ref="I12:L12"/>
    <mergeCell ref="N12:Q12"/>
    <mergeCell ref="R12:S12"/>
    <mergeCell ref="T12:U12"/>
    <mergeCell ref="G145:H145"/>
    <mergeCell ref="I145:K145"/>
    <mergeCell ref="L145:N145"/>
    <mergeCell ref="O145:Q145"/>
    <mergeCell ref="R145:T145"/>
    <mergeCell ref="B136:F136"/>
    <mergeCell ref="G136:U136"/>
    <mergeCell ref="B137:U137"/>
    <mergeCell ref="B138:D141"/>
    <mergeCell ref="E138:F141"/>
    <mergeCell ref="G138:U138"/>
    <mergeCell ref="G139:H141"/>
    <mergeCell ref="I139:N139"/>
    <mergeCell ref="O139:U139"/>
    <mergeCell ref="I140:K141"/>
    <mergeCell ref="L140:N141"/>
    <mergeCell ref="O140:Q141"/>
    <mergeCell ref="R140:T141"/>
    <mergeCell ref="U140:U141"/>
    <mergeCell ref="B135:F135"/>
    <mergeCell ref="G135:U135"/>
    <mergeCell ref="B146:D146"/>
    <mergeCell ref="E146:F146"/>
    <mergeCell ref="G146:H146"/>
    <mergeCell ref="I146:K146"/>
    <mergeCell ref="L146:N146"/>
    <mergeCell ref="O146:Q146"/>
    <mergeCell ref="R146:T146"/>
    <mergeCell ref="B143:D143"/>
    <mergeCell ref="E143:F143"/>
    <mergeCell ref="G143:H143"/>
    <mergeCell ref="I143:K143"/>
    <mergeCell ref="L143:N143"/>
    <mergeCell ref="O143:Q143"/>
    <mergeCell ref="R143:T143"/>
    <mergeCell ref="B144:D144"/>
    <mergeCell ref="E144:F144"/>
    <mergeCell ref="G144:H144"/>
    <mergeCell ref="I144:K144"/>
    <mergeCell ref="L144:N144"/>
    <mergeCell ref="O144:Q144"/>
    <mergeCell ref="R144:T144"/>
    <mergeCell ref="B142:D142"/>
    <mergeCell ref="E142:F142"/>
    <mergeCell ref="G142:H142"/>
    <mergeCell ref="I142:K142"/>
    <mergeCell ref="L142:N142"/>
    <mergeCell ref="O142:Q142"/>
    <mergeCell ref="R142:T142"/>
    <mergeCell ref="B145:D145"/>
    <mergeCell ref="E145:F145"/>
    <mergeCell ref="B149:D149"/>
    <mergeCell ref="E149:F149"/>
    <mergeCell ref="G149:H149"/>
    <mergeCell ref="I149:K149"/>
    <mergeCell ref="L149:N149"/>
    <mergeCell ref="O149:Q149"/>
    <mergeCell ref="R149:T149"/>
    <mergeCell ref="B150:D150"/>
    <mergeCell ref="E150:F150"/>
    <mergeCell ref="G150:H150"/>
    <mergeCell ref="I150:K150"/>
    <mergeCell ref="L150:N150"/>
    <mergeCell ref="O150:Q150"/>
    <mergeCell ref="R150:T150"/>
    <mergeCell ref="B147:D147"/>
    <mergeCell ref="E147:F147"/>
    <mergeCell ref="G147:H147"/>
    <mergeCell ref="I147:K147"/>
    <mergeCell ref="L147:N147"/>
    <mergeCell ref="O147:Q147"/>
    <mergeCell ref="R147:T147"/>
    <mergeCell ref="B148:D148"/>
    <mergeCell ref="E148:F148"/>
    <mergeCell ref="G148:H148"/>
    <mergeCell ref="I148:K148"/>
    <mergeCell ref="L148:N148"/>
    <mergeCell ref="O148:Q148"/>
    <mergeCell ref="R148:T148"/>
    <mergeCell ref="B153:D153"/>
    <mergeCell ref="E153:F153"/>
    <mergeCell ref="G153:H153"/>
    <mergeCell ref="I153:K153"/>
    <mergeCell ref="L153:N153"/>
    <mergeCell ref="O153:Q153"/>
    <mergeCell ref="R153:T153"/>
    <mergeCell ref="B154:D154"/>
    <mergeCell ref="E154:F154"/>
    <mergeCell ref="G154:H154"/>
    <mergeCell ref="I154:K154"/>
    <mergeCell ref="L154:N154"/>
    <mergeCell ref="O154:Q154"/>
    <mergeCell ref="R154:T154"/>
    <mergeCell ref="B151:D151"/>
    <mergeCell ref="E151:F151"/>
    <mergeCell ref="G151:H151"/>
    <mergeCell ref="I151:K151"/>
    <mergeCell ref="L151:N151"/>
    <mergeCell ref="O151:Q151"/>
    <mergeCell ref="R151:T151"/>
    <mergeCell ref="B152:D152"/>
    <mergeCell ref="E152:F152"/>
    <mergeCell ref="G152:H152"/>
    <mergeCell ref="I152:K152"/>
    <mergeCell ref="L152:N152"/>
    <mergeCell ref="O152:Q152"/>
    <mergeCell ref="R152:T152"/>
    <mergeCell ref="B157:D157"/>
    <mergeCell ref="E157:F157"/>
    <mergeCell ref="G157:H157"/>
    <mergeCell ref="I157:K157"/>
    <mergeCell ref="L157:N157"/>
    <mergeCell ref="O157:Q157"/>
    <mergeCell ref="R157:T157"/>
    <mergeCell ref="B158:D158"/>
    <mergeCell ref="E158:F158"/>
    <mergeCell ref="G158:H158"/>
    <mergeCell ref="I158:K158"/>
    <mergeCell ref="L158:N158"/>
    <mergeCell ref="O158:Q158"/>
    <mergeCell ref="R158:T158"/>
    <mergeCell ref="B155:D155"/>
    <mergeCell ref="E155:F155"/>
    <mergeCell ref="G155:H155"/>
    <mergeCell ref="I155:K155"/>
    <mergeCell ref="L155:N155"/>
    <mergeCell ref="O155:Q155"/>
    <mergeCell ref="R155:T155"/>
    <mergeCell ref="B156:D156"/>
    <mergeCell ref="E156:F156"/>
    <mergeCell ref="G156:H156"/>
    <mergeCell ref="I156:K156"/>
    <mergeCell ref="L156:N156"/>
    <mergeCell ref="O156:Q156"/>
    <mergeCell ref="R156:T156"/>
    <mergeCell ref="B159:D159"/>
    <mergeCell ref="E159:F159"/>
    <mergeCell ref="G159:H159"/>
    <mergeCell ref="I159:K159"/>
    <mergeCell ref="L159:N159"/>
    <mergeCell ref="O159:Q159"/>
    <mergeCell ref="R159:T159"/>
    <mergeCell ref="B160:D160"/>
    <mergeCell ref="E160:F160"/>
    <mergeCell ref="G160:H160"/>
    <mergeCell ref="I160:K160"/>
    <mergeCell ref="L160:N160"/>
    <mergeCell ref="O160:Q160"/>
    <mergeCell ref="R160:T160"/>
    <mergeCell ref="B161:F161"/>
    <mergeCell ref="G161:N161"/>
    <mergeCell ref="O161:U161"/>
    <mergeCell ref="B199:F199"/>
    <mergeCell ref="G178:H178"/>
    <mergeCell ref="G179:H179"/>
    <mergeCell ref="G176:H176"/>
    <mergeCell ref="G177:H177"/>
    <mergeCell ref="G182:H182"/>
    <mergeCell ref="G183:H183"/>
    <mergeCell ref="G180:H180"/>
    <mergeCell ref="G181:H181"/>
    <mergeCell ref="B183:F183"/>
    <mergeCell ref="G186:H186"/>
    <mergeCell ref="G187:H187"/>
    <mergeCell ref="G184:H184"/>
    <mergeCell ref="G185:H185"/>
    <mergeCell ref="B184:F184"/>
    <mergeCell ref="B185:F185"/>
    <mergeCell ref="B186:F186"/>
    <mergeCell ref="B187:F187"/>
    <mergeCell ref="B178:F178"/>
    <mergeCell ref="B179:F179"/>
    <mergeCell ref="B180:F180"/>
    <mergeCell ref="B181:F181"/>
    <mergeCell ref="B182:F182"/>
    <mergeCell ref="B208:C208"/>
    <mergeCell ref="D208:E208"/>
    <mergeCell ref="F208:G208"/>
    <mergeCell ref="H208:I208"/>
    <mergeCell ref="J208:K208"/>
    <mergeCell ref="L208:M208"/>
    <mergeCell ref="N208:O208"/>
    <mergeCell ref="P208:Q208"/>
    <mergeCell ref="R208:S208"/>
    <mergeCell ref="T208:U208"/>
    <mergeCell ref="G190:H190"/>
    <mergeCell ref="G191:H191"/>
    <mergeCell ref="G188:H188"/>
    <mergeCell ref="G189:H189"/>
    <mergeCell ref="B188:F188"/>
    <mergeCell ref="B189:F189"/>
    <mergeCell ref="B190:F190"/>
    <mergeCell ref="B191:F191"/>
    <mergeCell ref="G194:H194"/>
    <mergeCell ref="G195:H195"/>
    <mergeCell ref="G193:H193"/>
    <mergeCell ref="B192:U192"/>
    <mergeCell ref="B193:F193"/>
    <mergeCell ref="B194:F194"/>
    <mergeCell ref="B195:F195"/>
    <mergeCell ref="G198:H198"/>
    <mergeCell ref="G199:H199"/>
    <mergeCell ref="G196:H196"/>
    <mergeCell ref="G197:H197"/>
    <mergeCell ref="B196:F196"/>
    <mergeCell ref="B197:F197"/>
    <mergeCell ref="B198:F198"/>
    <mergeCell ref="B228:G228"/>
    <mergeCell ref="J228:O228"/>
    <mergeCell ref="R228:U228"/>
    <mergeCell ref="J231:O231"/>
    <mergeCell ref="C232:F232"/>
    <mergeCell ref="J232:O232"/>
    <mergeCell ref="R232:U232"/>
    <mergeCell ref="B233:G236"/>
    <mergeCell ref="J233:O236"/>
    <mergeCell ref="R233:U236"/>
    <mergeCell ref="B237:G237"/>
    <mergeCell ref="J237:O237"/>
    <mergeCell ref="R237:U237"/>
    <mergeCell ref="B119:U119"/>
    <mergeCell ref="B241:U241"/>
    <mergeCell ref="B254:F254"/>
    <mergeCell ref="B255:F255"/>
    <mergeCell ref="B251:F251"/>
    <mergeCell ref="G251:U251"/>
    <mergeCell ref="B252:F252"/>
    <mergeCell ref="G252:U252"/>
    <mergeCell ref="B253:F253"/>
    <mergeCell ref="G202:H202"/>
    <mergeCell ref="G200:H200"/>
    <mergeCell ref="G201:H201"/>
    <mergeCell ref="B200:F200"/>
    <mergeCell ref="B201:F201"/>
    <mergeCell ref="B202:F202"/>
    <mergeCell ref="B204:U204"/>
    <mergeCell ref="B205:C206"/>
    <mergeCell ref="D205:I205"/>
    <mergeCell ref="J205:O205"/>
    <mergeCell ref="B266:D266"/>
    <mergeCell ref="E266:F266"/>
    <mergeCell ref="G266:H266"/>
    <mergeCell ref="I266:K266"/>
    <mergeCell ref="L266:N266"/>
    <mergeCell ref="O266:Q266"/>
    <mergeCell ref="R266:T266"/>
    <mergeCell ref="B267:D267"/>
    <mergeCell ref="E267:F267"/>
    <mergeCell ref="G267:H267"/>
    <mergeCell ref="I267:K267"/>
    <mergeCell ref="L267:N267"/>
    <mergeCell ref="O267:Q267"/>
    <mergeCell ref="R267:T267"/>
    <mergeCell ref="B264:D264"/>
    <mergeCell ref="E264:F264"/>
    <mergeCell ref="G264:H264"/>
    <mergeCell ref="I264:K264"/>
    <mergeCell ref="L264:N264"/>
    <mergeCell ref="O264:Q264"/>
    <mergeCell ref="R264:T264"/>
    <mergeCell ref="B265:D265"/>
    <mergeCell ref="E265:F265"/>
    <mergeCell ref="G265:H265"/>
    <mergeCell ref="I265:K265"/>
    <mergeCell ref="L265:N265"/>
    <mergeCell ref="O265:Q265"/>
    <mergeCell ref="R265:T265"/>
    <mergeCell ref="B270:D270"/>
    <mergeCell ref="E270:F270"/>
    <mergeCell ref="G270:H270"/>
    <mergeCell ref="I270:K270"/>
    <mergeCell ref="L270:N270"/>
    <mergeCell ref="O270:Q270"/>
    <mergeCell ref="R270:T270"/>
    <mergeCell ref="B271:D271"/>
    <mergeCell ref="E271:F271"/>
    <mergeCell ref="G271:H271"/>
    <mergeCell ref="I271:K271"/>
    <mergeCell ref="L271:N271"/>
    <mergeCell ref="O271:Q271"/>
    <mergeCell ref="R271:T271"/>
    <mergeCell ref="B268:D268"/>
    <mergeCell ref="E268:F268"/>
    <mergeCell ref="G268:H268"/>
    <mergeCell ref="I268:K268"/>
    <mergeCell ref="L268:N268"/>
    <mergeCell ref="O268:Q268"/>
    <mergeCell ref="R268:T268"/>
    <mergeCell ref="B269:D269"/>
    <mergeCell ref="E269:F269"/>
    <mergeCell ref="G269:H269"/>
    <mergeCell ref="I269:K269"/>
    <mergeCell ref="L269:N269"/>
    <mergeCell ref="O269:Q269"/>
    <mergeCell ref="R269:T269"/>
    <mergeCell ref="B274:D274"/>
    <mergeCell ref="E274:F274"/>
    <mergeCell ref="G274:H274"/>
    <mergeCell ref="I274:K274"/>
    <mergeCell ref="L274:N274"/>
    <mergeCell ref="O274:Q274"/>
    <mergeCell ref="R274:T274"/>
    <mergeCell ref="B275:D275"/>
    <mergeCell ref="E275:F275"/>
    <mergeCell ref="G275:H275"/>
    <mergeCell ref="I275:K275"/>
    <mergeCell ref="L275:N275"/>
    <mergeCell ref="O275:Q275"/>
    <mergeCell ref="R275:T275"/>
    <mergeCell ref="B272:D272"/>
    <mergeCell ref="E272:F272"/>
    <mergeCell ref="G272:H272"/>
    <mergeCell ref="I272:K272"/>
    <mergeCell ref="L272:N272"/>
    <mergeCell ref="O272:Q272"/>
    <mergeCell ref="R272:T272"/>
    <mergeCell ref="B273:D273"/>
    <mergeCell ref="E273:F273"/>
    <mergeCell ref="G273:H273"/>
    <mergeCell ref="I273:K273"/>
    <mergeCell ref="L273:N273"/>
    <mergeCell ref="O273:Q273"/>
    <mergeCell ref="R273:T273"/>
    <mergeCell ref="B278:D278"/>
    <mergeCell ref="E278:F278"/>
    <mergeCell ref="G278:H278"/>
    <mergeCell ref="I278:K278"/>
    <mergeCell ref="L278:N278"/>
    <mergeCell ref="O278:Q278"/>
    <mergeCell ref="R278:T278"/>
    <mergeCell ref="B279:D279"/>
    <mergeCell ref="E279:F279"/>
    <mergeCell ref="G279:H279"/>
    <mergeCell ref="I279:K279"/>
    <mergeCell ref="L279:N279"/>
    <mergeCell ref="O279:Q279"/>
    <mergeCell ref="R279:T279"/>
    <mergeCell ref="B276:D276"/>
    <mergeCell ref="E276:F276"/>
    <mergeCell ref="G276:H276"/>
    <mergeCell ref="I276:K276"/>
    <mergeCell ref="L276:N276"/>
    <mergeCell ref="O276:Q276"/>
    <mergeCell ref="R276:T276"/>
    <mergeCell ref="B277:D277"/>
    <mergeCell ref="E277:F277"/>
    <mergeCell ref="G277:H277"/>
    <mergeCell ref="I277:K277"/>
    <mergeCell ref="L277:N277"/>
    <mergeCell ref="O277:Q277"/>
    <mergeCell ref="R277:T277"/>
    <mergeCell ref="B282:D282"/>
    <mergeCell ref="E282:F282"/>
    <mergeCell ref="G282:H282"/>
    <mergeCell ref="I282:K282"/>
    <mergeCell ref="L282:N282"/>
    <mergeCell ref="O282:Q282"/>
    <mergeCell ref="R282:T282"/>
    <mergeCell ref="B280:D280"/>
    <mergeCell ref="E280:F280"/>
    <mergeCell ref="G280:H280"/>
    <mergeCell ref="I280:K280"/>
    <mergeCell ref="L280:N280"/>
    <mergeCell ref="O280:Q280"/>
    <mergeCell ref="R280:T280"/>
    <mergeCell ref="B281:D281"/>
    <mergeCell ref="E281:F281"/>
    <mergeCell ref="G281:H281"/>
    <mergeCell ref="I281:K281"/>
    <mergeCell ref="L281:N281"/>
    <mergeCell ref="O281:Q281"/>
    <mergeCell ref="R281:T281"/>
    <mergeCell ref="B283:F283"/>
    <mergeCell ref="G283:N283"/>
    <mergeCell ref="O283:U283"/>
    <mergeCell ref="I287:K287"/>
    <mergeCell ref="L287:N287"/>
    <mergeCell ref="O287:Q287"/>
    <mergeCell ref="R287:T287"/>
    <mergeCell ref="B285:F288"/>
    <mergeCell ref="G285:U285"/>
    <mergeCell ref="G286:H288"/>
    <mergeCell ref="I286:N286"/>
    <mergeCell ref="G290:H290"/>
    <mergeCell ref="G291:H291"/>
    <mergeCell ref="B289:U289"/>
    <mergeCell ref="B290:F290"/>
    <mergeCell ref="B291:F291"/>
    <mergeCell ref="G295:H295"/>
    <mergeCell ref="O286:U286"/>
    <mergeCell ref="U287:U288"/>
    <mergeCell ref="G296:H296"/>
    <mergeCell ref="G293:H293"/>
    <mergeCell ref="G294:H294"/>
    <mergeCell ref="B293:F293"/>
    <mergeCell ref="B294:F294"/>
    <mergeCell ref="B295:F295"/>
    <mergeCell ref="B296:F296"/>
    <mergeCell ref="G299:H299"/>
    <mergeCell ref="G300:H300"/>
    <mergeCell ref="G297:H297"/>
    <mergeCell ref="G298:H298"/>
    <mergeCell ref="B297:F297"/>
    <mergeCell ref="B298:F298"/>
    <mergeCell ref="B299:F299"/>
    <mergeCell ref="B300:F300"/>
    <mergeCell ref="G303:H303"/>
    <mergeCell ref="G304:H304"/>
    <mergeCell ref="G301:H301"/>
    <mergeCell ref="G302:H302"/>
    <mergeCell ref="B301:F301"/>
    <mergeCell ref="B302:F302"/>
    <mergeCell ref="B303:F303"/>
    <mergeCell ref="B304:F304"/>
    <mergeCell ref="G307:H307"/>
    <mergeCell ref="G308:H308"/>
    <mergeCell ref="G305:H305"/>
    <mergeCell ref="G306:H306"/>
    <mergeCell ref="B305:F305"/>
    <mergeCell ref="B306:F306"/>
    <mergeCell ref="B307:F307"/>
    <mergeCell ref="B308:F308"/>
    <mergeCell ref="G311:H311"/>
    <mergeCell ref="G312:H312"/>
    <mergeCell ref="G309:H309"/>
    <mergeCell ref="G310:H310"/>
    <mergeCell ref="B309:F309"/>
    <mergeCell ref="B310:F310"/>
    <mergeCell ref="B311:F311"/>
    <mergeCell ref="B312:F312"/>
    <mergeCell ref="G315:H315"/>
    <mergeCell ref="G316:H316"/>
    <mergeCell ref="G313:H313"/>
    <mergeCell ref="B313:F313"/>
    <mergeCell ref="B314:U314"/>
    <mergeCell ref="B315:F315"/>
    <mergeCell ref="B316:F316"/>
    <mergeCell ref="G319:H319"/>
    <mergeCell ref="G320:H320"/>
    <mergeCell ref="G317:H317"/>
    <mergeCell ref="G318:H318"/>
    <mergeCell ref="B317:F317"/>
    <mergeCell ref="B318:F318"/>
    <mergeCell ref="B319:F319"/>
    <mergeCell ref="B320:F320"/>
    <mergeCell ref="G323:H323"/>
    <mergeCell ref="G324:H324"/>
    <mergeCell ref="G321:H321"/>
    <mergeCell ref="G322:H322"/>
    <mergeCell ref="B321:F321"/>
    <mergeCell ref="B322:F322"/>
    <mergeCell ref="B323:F323"/>
    <mergeCell ref="B324:F324"/>
    <mergeCell ref="N329:O329"/>
    <mergeCell ref="P329:Q329"/>
    <mergeCell ref="R329:S329"/>
    <mergeCell ref="T329:U329"/>
    <mergeCell ref="B330:C330"/>
    <mergeCell ref="D330:E330"/>
    <mergeCell ref="B359:G359"/>
    <mergeCell ref="J359:O359"/>
    <mergeCell ref="R359:U359"/>
    <mergeCell ref="P327:T327"/>
    <mergeCell ref="D328:E328"/>
    <mergeCell ref="F328:G328"/>
    <mergeCell ref="H328:I328"/>
    <mergeCell ref="J328:K328"/>
    <mergeCell ref="L328:M328"/>
    <mergeCell ref="N328:O328"/>
    <mergeCell ref="P328:Q328"/>
    <mergeCell ref="R328:S328"/>
    <mergeCell ref="T328:U328"/>
    <mergeCell ref="F330:G330"/>
    <mergeCell ref="H330:I330"/>
    <mergeCell ref="J330:K330"/>
    <mergeCell ref="L330:M330"/>
    <mergeCell ref="N330:O330"/>
    <mergeCell ref="P330:Q330"/>
    <mergeCell ref="R330:S330"/>
    <mergeCell ref="T330:U330"/>
    <mergeCell ref="B331:C331"/>
    <mergeCell ref="D331:E331"/>
    <mergeCell ref="F331:G331"/>
    <mergeCell ref="H331:I331"/>
    <mergeCell ref="J331:K331"/>
    <mergeCell ref="B362:U362"/>
    <mergeCell ref="B371:F371"/>
    <mergeCell ref="G371:U371"/>
    <mergeCell ref="B375:F375"/>
    <mergeCell ref="G375:H375"/>
    <mergeCell ref="I375:L375"/>
    <mergeCell ref="N375:Q375"/>
    <mergeCell ref="B376:F376"/>
    <mergeCell ref="B377:F377"/>
    <mergeCell ref="G377:U377"/>
    <mergeCell ref="B372:F372"/>
    <mergeCell ref="G372:U372"/>
    <mergeCell ref="B373:F373"/>
    <mergeCell ref="G373:U373"/>
    <mergeCell ref="B374:F374"/>
    <mergeCell ref="I381:N381"/>
    <mergeCell ref="O381:U381"/>
    <mergeCell ref="B385:D385"/>
    <mergeCell ref="E385:F385"/>
    <mergeCell ref="G385:H385"/>
    <mergeCell ref="I385:K385"/>
    <mergeCell ref="L385:N385"/>
    <mergeCell ref="O385:Q385"/>
    <mergeCell ref="R385:T385"/>
    <mergeCell ref="B386:D386"/>
    <mergeCell ref="E386:F386"/>
    <mergeCell ref="G386:H386"/>
    <mergeCell ref="I386:K386"/>
    <mergeCell ref="L386:N386"/>
    <mergeCell ref="O386:Q386"/>
    <mergeCell ref="R386:T386"/>
    <mergeCell ref="B391:D391"/>
    <mergeCell ref="E391:F391"/>
    <mergeCell ref="G391:H391"/>
    <mergeCell ref="I391:K391"/>
    <mergeCell ref="L391:N391"/>
    <mergeCell ref="O391:Q391"/>
    <mergeCell ref="R391:T391"/>
    <mergeCell ref="B392:D392"/>
    <mergeCell ref="E392:F392"/>
    <mergeCell ref="G392:H392"/>
    <mergeCell ref="I392:K392"/>
    <mergeCell ref="L392:N392"/>
    <mergeCell ref="O392:Q392"/>
    <mergeCell ref="R392:T392"/>
    <mergeCell ref="B389:D389"/>
    <mergeCell ref="E389:F389"/>
    <mergeCell ref="G389:H389"/>
    <mergeCell ref="I389:K389"/>
    <mergeCell ref="L389:N389"/>
    <mergeCell ref="O389:Q389"/>
    <mergeCell ref="R389:T389"/>
    <mergeCell ref="B390:D390"/>
    <mergeCell ref="E390:F390"/>
    <mergeCell ref="G390:H390"/>
    <mergeCell ref="I390:K390"/>
    <mergeCell ref="L390:N390"/>
    <mergeCell ref="O390:Q390"/>
    <mergeCell ref="R390:T390"/>
    <mergeCell ref="B395:D395"/>
    <mergeCell ref="E395:F395"/>
    <mergeCell ref="G395:H395"/>
    <mergeCell ref="I395:K395"/>
    <mergeCell ref="L395:N395"/>
    <mergeCell ref="O395:Q395"/>
    <mergeCell ref="R395:T395"/>
    <mergeCell ref="B396:D396"/>
    <mergeCell ref="E396:F396"/>
    <mergeCell ref="G396:H396"/>
    <mergeCell ref="I396:K396"/>
    <mergeCell ref="L396:N396"/>
    <mergeCell ref="O396:Q396"/>
    <mergeCell ref="R396:T396"/>
    <mergeCell ref="B393:D393"/>
    <mergeCell ref="E393:F393"/>
    <mergeCell ref="G393:H393"/>
    <mergeCell ref="I393:K393"/>
    <mergeCell ref="L393:N393"/>
    <mergeCell ref="O393:Q393"/>
    <mergeCell ref="R393:T393"/>
    <mergeCell ref="B394:D394"/>
    <mergeCell ref="E394:F394"/>
    <mergeCell ref="G394:H394"/>
    <mergeCell ref="I394:K394"/>
    <mergeCell ref="L394:N394"/>
    <mergeCell ref="O394:Q394"/>
    <mergeCell ref="R394:T394"/>
    <mergeCell ref="B399:D399"/>
    <mergeCell ref="E399:F399"/>
    <mergeCell ref="G399:H399"/>
    <mergeCell ref="I399:K399"/>
    <mergeCell ref="L399:N399"/>
    <mergeCell ref="O399:Q399"/>
    <mergeCell ref="R399:T399"/>
    <mergeCell ref="B400:D400"/>
    <mergeCell ref="E400:F400"/>
    <mergeCell ref="G400:H400"/>
    <mergeCell ref="I400:K400"/>
    <mergeCell ref="L400:N400"/>
    <mergeCell ref="O400:Q400"/>
    <mergeCell ref="R400:T400"/>
    <mergeCell ref="B397:D397"/>
    <mergeCell ref="E397:F397"/>
    <mergeCell ref="G397:H397"/>
    <mergeCell ref="I397:K397"/>
    <mergeCell ref="L397:N397"/>
    <mergeCell ref="O397:Q397"/>
    <mergeCell ref="R397:T397"/>
    <mergeCell ref="B398:D398"/>
    <mergeCell ref="E398:F398"/>
    <mergeCell ref="G398:H398"/>
    <mergeCell ref="I398:K398"/>
    <mergeCell ref="L398:N398"/>
    <mergeCell ref="O398:Q398"/>
    <mergeCell ref="R398:T398"/>
    <mergeCell ref="B401:D401"/>
    <mergeCell ref="E401:F401"/>
    <mergeCell ref="G401:H401"/>
    <mergeCell ref="I401:K401"/>
    <mergeCell ref="L401:N401"/>
    <mergeCell ref="O401:Q401"/>
    <mergeCell ref="R401:T401"/>
    <mergeCell ref="B402:D402"/>
    <mergeCell ref="E402:F402"/>
    <mergeCell ref="G402:H402"/>
    <mergeCell ref="I402:K402"/>
    <mergeCell ref="L402:N402"/>
    <mergeCell ref="O402:Q402"/>
    <mergeCell ref="R402:T402"/>
    <mergeCell ref="I407:K407"/>
    <mergeCell ref="L407:N407"/>
    <mergeCell ref="O407:Q407"/>
    <mergeCell ref="R407:T407"/>
    <mergeCell ref="G411:H411"/>
    <mergeCell ref="G413:H413"/>
    <mergeCell ref="G410:H410"/>
    <mergeCell ref="G416:H416"/>
    <mergeCell ref="G417:H417"/>
    <mergeCell ref="G414:H414"/>
    <mergeCell ref="G415:H415"/>
    <mergeCell ref="B417:F417"/>
    <mergeCell ref="G420:H420"/>
    <mergeCell ref="G421:H421"/>
    <mergeCell ref="G418:H418"/>
    <mergeCell ref="G419:H419"/>
    <mergeCell ref="B418:F418"/>
    <mergeCell ref="B419:F419"/>
    <mergeCell ref="B420:F420"/>
    <mergeCell ref="B421:F421"/>
    <mergeCell ref="G424:H424"/>
    <mergeCell ref="B412:F412"/>
    <mergeCell ref="G412:H412"/>
    <mergeCell ref="G425:H425"/>
    <mergeCell ref="G422:H422"/>
    <mergeCell ref="G423:H423"/>
    <mergeCell ref="B422:F422"/>
    <mergeCell ref="B423:F423"/>
    <mergeCell ref="B424:F424"/>
    <mergeCell ref="B425:F425"/>
    <mergeCell ref="G428:H428"/>
    <mergeCell ref="G429:H429"/>
    <mergeCell ref="G426:H426"/>
    <mergeCell ref="G427:H427"/>
    <mergeCell ref="B426:F426"/>
    <mergeCell ref="B427:F427"/>
    <mergeCell ref="B428:F428"/>
    <mergeCell ref="B429:F429"/>
    <mergeCell ref="G432:H432"/>
    <mergeCell ref="G433:H433"/>
    <mergeCell ref="G430:H430"/>
    <mergeCell ref="G431:H431"/>
    <mergeCell ref="B430:F430"/>
    <mergeCell ref="B431:F431"/>
    <mergeCell ref="B432:F432"/>
    <mergeCell ref="B433:F433"/>
    <mergeCell ref="G435:H435"/>
    <mergeCell ref="B434:U434"/>
    <mergeCell ref="B435:F435"/>
    <mergeCell ref="B436:F436"/>
    <mergeCell ref="B437:F437"/>
    <mergeCell ref="G440:H440"/>
    <mergeCell ref="G441:H441"/>
    <mergeCell ref="G438:H438"/>
    <mergeCell ref="G439:H439"/>
    <mergeCell ref="B438:F438"/>
    <mergeCell ref="B439:F439"/>
    <mergeCell ref="B440:F440"/>
    <mergeCell ref="B441:F441"/>
    <mergeCell ref="G444:H444"/>
    <mergeCell ref="G442:H442"/>
    <mergeCell ref="G443:H443"/>
    <mergeCell ref="B442:F442"/>
    <mergeCell ref="B443:F443"/>
    <mergeCell ref="B444:F444"/>
    <mergeCell ref="J473:O473"/>
    <mergeCell ref="C474:F474"/>
    <mergeCell ref="J474:O474"/>
    <mergeCell ref="R474:U474"/>
    <mergeCell ref="B475:G478"/>
    <mergeCell ref="J475:O478"/>
    <mergeCell ref="R475:U478"/>
    <mergeCell ref="B479:G479"/>
    <mergeCell ref="J479:O479"/>
    <mergeCell ref="R479:U479"/>
    <mergeCell ref="B88:C88"/>
    <mergeCell ref="B446:U446"/>
    <mergeCell ref="B447:C448"/>
    <mergeCell ref="D447:I447"/>
    <mergeCell ref="J447:O447"/>
    <mergeCell ref="B450:C450"/>
    <mergeCell ref="D450:E450"/>
    <mergeCell ref="F450:G450"/>
    <mergeCell ref="H450:I450"/>
    <mergeCell ref="J450:K450"/>
    <mergeCell ref="L450:M450"/>
    <mergeCell ref="N450:O450"/>
    <mergeCell ref="P450:Q450"/>
    <mergeCell ref="R450:S450"/>
    <mergeCell ref="T450:U450"/>
    <mergeCell ref="B451:C451"/>
    <mergeCell ref="D451:E451"/>
    <mergeCell ref="B470:G470"/>
    <mergeCell ref="J470:O470"/>
    <mergeCell ref="R470:U470"/>
    <mergeCell ref="G436:H436"/>
    <mergeCell ref="G437:H437"/>
    <mergeCell ref="B482:U482"/>
    <mergeCell ref="B487:U487"/>
    <mergeCell ref="B491:F491"/>
    <mergeCell ref="G491:U491"/>
    <mergeCell ref="B492:F492"/>
    <mergeCell ref="G492:U492"/>
    <mergeCell ref="B493:F493"/>
    <mergeCell ref="G493:U493"/>
    <mergeCell ref="B494:F494"/>
    <mergeCell ref="G494:U494"/>
    <mergeCell ref="B495:F495"/>
    <mergeCell ref="G495:H495"/>
    <mergeCell ref="I495:L495"/>
    <mergeCell ref="N495:Q495"/>
    <mergeCell ref="R495:S495"/>
    <mergeCell ref="T495:U495"/>
    <mergeCell ref="B496:F496"/>
    <mergeCell ref="G496:H496"/>
    <mergeCell ref="I496:L496"/>
    <mergeCell ref="N496:Q496"/>
    <mergeCell ref="R496:U496"/>
    <mergeCell ref="B497:F497"/>
    <mergeCell ref="G497:U497"/>
    <mergeCell ref="B498:F498"/>
    <mergeCell ref="G498:U498"/>
    <mergeCell ref="B499:U499"/>
    <mergeCell ref="B500:D503"/>
    <mergeCell ref="E500:F503"/>
    <mergeCell ref="G500:U500"/>
    <mergeCell ref="G501:H503"/>
    <mergeCell ref="I501:N501"/>
    <mergeCell ref="O501:U501"/>
    <mergeCell ref="I502:K503"/>
    <mergeCell ref="L502:N503"/>
    <mergeCell ref="O502:Q503"/>
    <mergeCell ref="R502:T503"/>
    <mergeCell ref="U502:U503"/>
    <mergeCell ref="B504:D504"/>
    <mergeCell ref="E504:F504"/>
    <mergeCell ref="G504:H504"/>
    <mergeCell ref="I504:K504"/>
    <mergeCell ref="L504:N504"/>
    <mergeCell ref="O504:Q504"/>
    <mergeCell ref="R504:T504"/>
    <mergeCell ref="B505:D505"/>
    <mergeCell ref="E505:F505"/>
    <mergeCell ref="G505:H505"/>
    <mergeCell ref="I505:K505"/>
    <mergeCell ref="L505:N505"/>
    <mergeCell ref="O505:Q505"/>
    <mergeCell ref="R505:T505"/>
    <mergeCell ref="B506:D506"/>
    <mergeCell ref="E506:F506"/>
    <mergeCell ref="G506:H506"/>
    <mergeCell ref="I506:K506"/>
    <mergeCell ref="L506:N506"/>
    <mergeCell ref="O506:Q506"/>
    <mergeCell ref="R506:T506"/>
    <mergeCell ref="B507:D507"/>
    <mergeCell ref="E507:F507"/>
    <mergeCell ref="G507:H507"/>
    <mergeCell ref="I507:K507"/>
    <mergeCell ref="L507:N507"/>
    <mergeCell ref="O507:Q507"/>
    <mergeCell ref="R507:T507"/>
    <mergeCell ref="B508:D508"/>
    <mergeCell ref="E508:F508"/>
    <mergeCell ref="G508:H508"/>
    <mergeCell ref="I508:K508"/>
    <mergeCell ref="L508:N508"/>
    <mergeCell ref="O508:Q508"/>
    <mergeCell ref="R508:T508"/>
    <mergeCell ref="B509:D509"/>
    <mergeCell ref="E509:F509"/>
    <mergeCell ref="G509:H509"/>
    <mergeCell ref="I509:K509"/>
    <mergeCell ref="L509:N509"/>
    <mergeCell ref="O509:Q509"/>
    <mergeCell ref="R509:T509"/>
    <mergeCell ref="B510:D510"/>
    <mergeCell ref="E510:F510"/>
    <mergeCell ref="G510:H510"/>
    <mergeCell ref="I510:K510"/>
    <mergeCell ref="L510:N510"/>
    <mergeCell ref="O510:Q510"/>
    <mergeCell ref="R510:T510"/>
    <mergeCell ref="B511:D511"/>
    <mergeCell ref="E511:F511"/>
    <mergeCell ref="G511:H511"/>
    <mergeCell ref="I511:K511"/>
    <mergeCell ref="L511:N511"/>
    <mergeCell ref="O511:Q511"/>
    <mergeCell ref="R511:T511"/>
    <mergeCell ref="B512:D512"/>
    <mergeCell ref="E512:F512"/>
    <mergeCell ref="G512:H512"/>
    <mergeCell ref="I512:K512"/>
    <mergeCell ref="L512:N512"/>
    <mergeCell ref="O512:Q512"/>
    <mergeCell ref="R512:T512"/>
    <mergeCell ref="B513:D513"/>
    <mergeCell ref="E513:F513"/>
    <mergeCell ref="G513:H513"/>
    <mergeCell ref="I513:K513"/>
    <mergeCell ref="L513:N513"/>
    <mergeCell ref="O513:Q513"/>
    <mergeCell ref="R513:T513"/>
    <mergeCell ref="B514:D514"/>
    <mergeCell ref="E514:F514"/>
    <mergeCell ref="G514:H514"/>
    <mergeCell ref="I514:K514"/>
    <mergeCell ref="L514:N514"/>
    <mergeCell ref="O514:Q514"/>
    <mergeCell ref="R514:T514"/>
    <mergeCell ref="B515:D515"/>
    <mergeCell ref="E515:F515"/>
    <mergeCell ref="G515:H515"/>
    <mergeCell ref="I515:K515"/>
    <mergeCell ref="L515:N515"/>
    <mergeCell ref="O515:Q515"/>
    <mergeCell ref="R515:T515"/>
    <mergeCell ref="B516:D516"/>
    <mergeCell ref="E516:F516"/>
    <mergeCell ref="G516:H516"/>
    <mergeCell ref="I516:K516"/>
    <mergeCell ref="L516:N516"/>
    <mergeCell ref="O516:Q516"/>
    <mergeCell ref="R516:T516"/>
    <mergeCell ref="B517:D517"/>
    <mergeCell ref="E517:F517"/>
    <mergeCell ref="G517:H517"/>
    <mergeCell ref="I517:K517"/>
    <mergeCell ref="L517:N517"/>
    <mergeCell ref="O517:Q517"/>
    <mergeCell ref="R517:T517"/>
    <mergeCell ref="B518:D518"/>
    <mergeCell ref="E518:F518"/>
    <mergeCell ref="G518:H518"/>
    <mergeCell ref="I518:K518"/>
    <mergeCell ref="L518:N518"/>
    <mergeCell ref="O518:Q518"/>
    <mergeCell ref="R518:T518"/>
    <mergeCell ref="B519:D519"/>
    <mergeCell ref="E519:F519"/>
    <mergeCell ref="G519:H519"/>
    <mergeCell ref="I519:K519"/>
    <mergeCell ref="L519:N519"/>
    <mergeCell ref="O519:Q519"/>
    <mergeCell ref="R519:T519"/>
    <mergeCell ref="B520:D520"/>
    <mergeCell ref="E520:F520"/>
    <mergeCell ref="G520:H520"/>
    <mergeCell ref="I520:K520"/>
    <mergeCell ref="L520:N520"/>
    <mergeCell ref="O520:Q520"/>
    <mergeCell ref="R520:T520"/>
    <mergeCell ref="B521:D521"/>
    <mergeCell ref="E521:F521"/>
    <mergeCell ref="G521:H521"/>
    <mergeCell ref="I521:K521"/>
    <mergeCell ref="L521:N521"/>
    <mergeCell ref="O521:Q521"/>
    <mergeCell ref="R521:T521"/>
    <mergeCell ref="B522:D522"/>
    <mergeCell ref="E522:F522"/>
    <mergeCell ref="G522:H522"/>
    <mergeCell ref="I522:K522"/>
    <mergeCell ref="L522:N522"/>
    <mergeCell ref="O522:Q522"/>
    <mergeCell ref="R522:T522"/>
    <mergeCell ref="B523:F523"/>
    <mergeCell ref="G523:N523"/>
    <mergeCell ref="O523:U523"/>
    <mergeCell ref="B525:F528"/>
    <mergeCell ref="G525:U525"/>
    <mergeCell ref="G526:H528"/>
    <mergeCell ref="I526:N526"/>
    <mergeCell ref="O526:U526"/>
    <mergeCell ref="I527:K527"/>
    <mergeCell ref="L527:N527"/>
    <mergeCell ref="O527:Q527"/>
    <mergeCell ref="R527:T527"/>
    <mergeCell ref="U527:U528"/>
    <mergeCell ref="B529:U529"/>
    <mergeCell ref="B530:F530"/>
    <mergeCell ref="G530:H530"/>
    <mergeCell ref="B531:F531"/>
    <mergeCell ref="G531:H531"/>
    <mergeCell ref="B533:F533"/>
    <mergeCell ref="G533:H533"/>
    <mergeCell ref="B534:F534"/>
    <mergeCell ref="G534:H534"/>
    <mergeCell ref="B535:F535"/>
    <mergeCell ref="G535:H535"/>
    <mergeCell ref="B536:F536"/>
    <mergeCell ref="G536:H536"/>
    <mergeCell ref="B537:F537"/>
    <mergeCell ref="G537:H537"/>
    <mergeCell ref="B538:F538"/>
    <mergeCell ref="G538:H538"/>
    <mergeCell ref="B539:F539"/>
    <mergeCell ref="G539:H539"/>
    <mergeCell ref="B540:F540"/>
    <mergeCell ref="G540:H540"/>
    <mergeCell ref="B541:F541"/>
    <mergeCell ref="G541:H541"/>
    <mergeCell ref="B542:F542"/>
    <mergeCell ref="G542:H542"/>
    <mergeCell ref="B543:F543"/>
    <mergeCell ref="G543:H543"/>
    <mergeCell ref="B544:F544"/>
    <mergeCell ref="G544:H544"/>
    <mergeCell ref="B545:F545"/>
    <mergeCell ref="G545:H545"/>
    <mergeCell ref="B546:F546"/>
    <mergeCell ref="G546:H546"/>
    <mergeCell ref="B547:F547"/>
    <mergeCell ref="G547:H547"/>
    <mergeCell ref="B548:F548"/>
    <mergeCell ref="G548:H548"/>
    <mergeCell ref="B549:F549"/>
    <mergeCell ref="G549:H549"/>
    <mergeCell ref="B550:F550"/>
    <mergeCell ref="G550:H550"/>
    <mergeCell ref="B551:F551"/>
    <mergeCell ref="G551:H551"/>
    <mergeCell ref="B552:F552"/>
    <mergeCell ref="G552:H552"/>
    <mergeCell ref="B553:F553"/>
    <mergeCell ref="G553:H553"/>
    <mergeCell ref="B554:U554"/>
    <mergeCell ref="B555:F555"/>
    <mergeCell ref="G555:H555"/>
    <mergeCell ref="B556:F556"/>
    <mergeCell ref="G556:H556"/>
    <mergeCell ref="B557:F557"/>
    <mergeCell ref="G557:H557"/>
    <mergeCell ref="B558:F558"/>
    <mergeCell ref="G558:H558"/>
    <mergeCell ref="B559:F559"/>
    <mergeCell ref="G559:H559"/>
    <mergeCell ref="B560:F560"/>
    <mergeCell ref="G560:H560"/>
    <mergeCell ref="B561:F561"/>
    <mergeCell ref="G561:H561"/>
    <mergeCell ref="B562:F562"/>
    <mergeCell ref="G562:H562"/>
    <mergeCell ref="B563:F563"/>
    <mergeCell ref="G563:H563"/>
    <mergeCell ref="B564:F564"/>
    <mergeCell ref="G564:H564"/>
    <mergeCell ref="B566:U566"/>
    <mergeCell ref="B567:C568"/>
    <mergeCell ref="D567:I567"/>
    <mergeCell ref="J567:O567"/>
    <mergeCell ref="P567:T567"/>
    <mergeCell ref="D568:E568"/>
    <mergeCell ref="F568:G568"/>
    <mergeCell ref="H568:I568"/>
    <mergeCell ref="J568:K568"/>
    <mergeCell ref="L568:M568"/>
    <mergeCell ref="N568:O568"/>
    <mergeCell ref="P568:Q568"/>
    <mergeCell ref="R568:S568"/>
    <mergeCell ref="T568:U568"/>
    <mergeCell ref="B569:C569"/>
    <mergeCell ref="D569:E569"/>
    <mergeCell ref="F569:G569"/>
    <mergeCell ref="H569:I569"/>
    <mergeCell ref="J569:K569"/>
    <mergeCell ref="L569:M569"/>
    <mergeCell ref="N569:O569"/>
    <mergeCell ref="P569:Q569"/>
    <mergeCell ref="R569:S569"/>
    <mergeCell ref="T569:U569"/>
    <mergeCell ref="B570:C570"/>
    <mergeCell ref="D570:E570"/>
    <mergeCell ref="F570:G570"/>
    <mergeCell ref="H570:I570"/>
    <mergeCell ref="J570:K570"/>
    <mergeCell ref="L570:M570"/>
    <mergeCell ref="N570:O570"/>
    <mergeCell ref="P570:Q570"/>
    <mergeCell ref="R570:S570"/>
    <mergeCell ref="T570:U570"/>
    <mergeCell ref="B590:G590"/>
    <mergeCell ref="J590:O590"/>
    <mergeCell ref="R590:U590"/>
    <mergeCell ref="J593:O593"/>
    <mergeCell ref="C594:F594"/>
    <mergeCell ref="J594:O594"/>
    <mergeCell ref="R594:U594"/>
    <mergeCell ref="B595:G598"/>
    <mergeCell ref="J595:O598"/>
    <mergeCell ref="R595:U598"/>
    <mergeCell ref="B599:G599"/>
    <mergeCell ref="J599:O599"/>
    <mergeCell ref="R599:U599"/>
    <mergeCell ref="B571:C571"/>
    <mergeCell ref="D571:E571"/>
    <mergeCell ref="F571:G571"/>
    <mergeCell ref="H571:I571"/>
    <mergeCell ref="J571:K571"/>
    <mergeCell ref="L571:M571"/>
    <mergeCell ref="N571:O571"/>
    <mergeCell ref="P571:Q571"/>
    <mergeCell ref="R571:S571"/>
    <mergeCell ref="T571:U571"/>
    <mergeCell ref="B574:D574"/>
    <mergeCell ref="E574:U574"/>
    <mergeCell ref="B575:U581"/>
    <mergeCell ref="J584:O584"/>
    <mergeCell ref="R584:U584"/>
    <mergeCell ref="B585:G585"/>
    <mergeCell ref="J585:O589"/>
    <mergeCell ref="R585:U589"/>
    <mergeCell ref="B586:G589"/>
    <mergeCell ref="B603:U603"/>
    <mergeCell ref="B608:U608"/>
    <mergeCell ref="B612:F612"/>
    <mergeCell ref="G612:U612"/>
    <mergeCell ref="B613:F613"/>
    <mergeCell ref="G613:U613"/>
    <mergeCell ref="B614:F614"/>
    <mergeCell ref="G614:U614"/>
    <mergeCell ref="B615:F615"/>
    <mergeCell ref="G615:U615"/>
    <mergeCell ref="B616:F616"/>
    <mergeCell ref="G616:H616"/>
    <mergeCell ref="I616:L616"/>
    <mergeCell ref="N616:Q616"/>
    <mergeCell ref="R616:S616"/>
    <mergeCell ref="T616:U616"/>
    <mergeCell ref="B617:F617"/>
    <mergeCell ref="G617:H617"/>
    <mergeCell ref="I617:L617"/>
    <mergeCell ref="N617:Q617"/>
    <mergeCell ref="R617:U617"/>
    <mergeCell ref="B618:F618"/>
    <mergeCell ref="G618:U618"/>
    <mergeCell ref="B619:F619"/>
    <mergeCell ref="G619:U619"/>
    <mergeCell ref="B620:U620"/>
    <mergeCell ref="B621:D624"/>
    <mergeCell ref="E621:F624"/>
    <mergeCell ref="G621:U621"/>
    <mergeCell ref="G622:H624"/>
    <mergeCell ref="I622:N622"/>
    <mergeCell ref="O622:U622"/>
    <mergeCell ref="I623:K624"/>
    <mergeCell ref="L623:N624"/>
    <mergeCell ref="O623:Q624"/>
    <mergeCell ref="R623:T624"/>
    <mergeCell ref="U623:U624"/>
    <mergeCell ref="B625:D625"/>
    <mergeCell ref="E625:F625"/>
    <mergeCell ref="G625:H625"/>
    <mergeCell ref="I625:K625"/>
    <mergeCell ref="L625:N625"/>
    <mergeCell ref="O625:Q625"/>
    <mergeCell ref="R625:T625"/>
    <mergeCell ref="B626:D626"/>
    <mergeCell ref="E626:F626"/>
    <mergeCell ref="G626:H626"/>
    <mergeCell ref="I626:K626"/>
    <mergeCell ref="L626:N626"/>
    <mergeCell ref="O626:Q626"/>
    <mergeCell ref="R626:T626"/>
    <mergeCell ref="B627:D627"/>
    <mergeCell ref="E627:F627"/>
    <mergeCell ref="G627:H627"/>
    <mergeCell ref="I627:K627"/>
    <mergeCell ref="L627:N627"/>
    <mergeCell ref="O627:Q627"/>
    <mergeCell ref="R627:T627"/>
    <mergeCell ref="B628:D628"/>
    <mergeCell ref="E628:F628"/>
    <mergeCell ref="G628:H628"/>
    <mergeCell ref="I628:K628"/>
    <mergeCell ref="L628:N628"/>
    <mergeCell ref="O628:Q628"/>
    <mergeCell ref="R628:T628"/>
    <mergeCell ref="B629:D629"/>
    <mergeCell ref="E629:F629"/>
    <mergeCell ref="G629:H629"/>
    <mergeCell ref="I629:K629"/>
    <mergeCell ref="L629:N629"/>
    <mergeCell ref="O629:Q629"/>
    <mergeCell ref="R629:T629"/>
    <mergeCell ref="B630:D630"/>
    <mergeCell ref="E630:F630"/>
    <mergeCell ref="G630:H630"/>
    <mergeCell ref="I630:K630"/>
    <mergeCell ref="L630:N630"/>
    <mergeCell ref="O630:Q630"/>
    <mergeCell ref="R630:T630"/>
    <mergeCell ref="B631:D631"/>
    <mergeCell ref="E631:F631"/>
    <mergeCell ref="G631:H631"/>
    <mergeCell ref="I631:K631"/>
    <mergeCell ref="L631:N631"/>
    <mergeCell ref="O631:Q631"/>
    <mergeCell ref="R631:T631"/>
    <mergeCell ref="B632:D632"/>
    <mergeCell ref="E632:F632"/>
    <mergeCell ref="G632:H632"/>
    <mergeCell ref="I632:K632"/>
    <mergeCell ref="L632:N632"/>
    <mergeCell ref="O632:Q632"/>
    <mergeCell ref="R632:T632"/>
    <mergeCell ref="B633:D633"/>
    <mergeCell ref="E633:F633"/>
    <mergeCell ref="G633:H633"/>
    <mergeCell ref="I633:K633"/>
    <mergeCell ref="L633:N633"/>
    <mergeCell ref="O633:Q633"/>
    <mergeCell ref="R633:T633"/>
    <mergeCell ref="B634:D634"/>
    <mergeCell ref="E634:F634"/>
    <mergeCell ref="G634:H634"/>
    <mergeCell ref="I634:K634"/>
    <mergeCell ref="L634:N634"/>
    <mergeCell ref="O634:Q634"/>
    <mergeCell ref="R634:T634"/>
    <mergeCell ref="B635:D635"/>
    <mergeCell ref="E635:F635"/>
    <mergeCell ref="G635:H635"/>
    <mergeCell ref="I635:K635"/>
    <mergeCell ref="L635:N635"/>
    <mergeCell ref="O635:Q635"/>
    <mergeCell ref="R635:T635"/>
    <mergeCell ref="B636:D636"/>
    <mergeCell ref="E636:F636"/>
    <mergeCell ref="G636:H636"/>
    <mergeCell ref="I636:K636"/>
    <mergeCell ref="L636:N636"/>
    <mergeCell ref="O636:Q636"/>
    <mergeCell ref="R636:T636"/>
    <mergeCell ref="B637:D637"/>
    <mergeCell ref="E637:F637"/>
    <mergeCell ref="G637:H637"/>
    <mergeCell ref="I637:K637"/>
    <mergeCell ref="L637:N637"/>
    <mergeCell ref="O637:Q637"/>
    <mergeCell ref="R637:T637"/>
    <mergeCell ref="B638:D638"/>
    <mergeCell ref="E638:F638"/>
    <mergeCell ref="G638:H638"/>
    <mergeCell ref="I638:K638"/>
    <mergeCell ref="L638:N638"/>
    <mergeCell ref="O638:Q638"/>
    <mergeCell ref="R638:T638"/>
    <mergeCell ref="B639:D639"/>
    <mergeCell ref="E639:F639"/>
    <mergeCell ref="G639:H639"/>
    <mergeCell ref="I639:K639"/>
    <mergeCell ref="L639:N639"/>
    <mergeCell ref="O639:Q639"/>
    <mergeCell ref="R639:T639"/>
    <mergeCell ref="B640:D640"/>
    <mergeCell ref="E640:F640"/>
    <mergeCell ref="G640:H640"/>
    <mergeCell ref="I640:K640"/>
    <mergeCell ref="L640:N640"/>
    <mergeCell ref="O640:Q640"/>
    <mergeCell ref="R640:T640"/>
    <mergeCell ref="B641:D641"/>
    <mergeCell ref="E641:F641"/>
    <mergeCell ref="G641:H641"/>
    <mergeCell ref="I641:K641"/>
    <mergeCell ref="L641:N641"/>
    <mergeCell ref="O641:Q641"/>
    <mergeCell ref="R641:T641"/>
    <mergeCell ref="B642:D642"/>
    <mergeCell ref="E642:F642"/>
    <mergeCell ref="G642:H642"/>
    <mergeCell ref="I642:K642"/>
    <mergeCell ref="L642:N642"/>
    <mergeCell ref="O642:Q642"/>
    <mergeCell ref="R642:T642"/>
    <mergeCell ref="B643:D643"/>
    <mergeCell ref="E643:F643"/>
    <mergeCell ref="G643:H643"/>
    <mergeCell ref="I643:K643"/>
    <mergeCell ref="L643:N643"/>
    <mergeCell ref="O643:Q643"/>
    <mergeCell ref="R643:T643"/>
    <mergeCell ref="B644:F644"/>
    <mergeCell ref="G644:N644"/>
    <mergeCell ref="O644:U644"/>
    <mergeCell ref="B646:F649"/>
    <mergeCell ref="G646:U646"/>
    <mergeCell ref="G647:H649"/>
    <mergeCell ref="I647:N647"/>
    <mergeCell ref="O647:U647"/>
    <mergeCell ref="I648:K648"/>
    <mergeCell ref="L648:N648"/>
    <mergeCell ref="O648:Q648"/>
    <mergeCell ref="R648:T648"/>
    <mergeCell ref="U648:U649"/>
    <mergeCell ref="B650:U650"/>
    <mergeCell ref="B651:F651"/>
    <mergeCell ref="G651:H651"/>
    <mergeCell ref="B652:F652"/>
    <mergeCell ref="G652:H652"/>
    <mergeCell ref="B654:F654"/>
    <mergeCell ref="G654:H654"/>
    <mergeCell ref="B655:F655"/>
    <mergeCell ref="G655:H655"/>
    <mergeCell ref="B656:F656"/>
    <mergeCell ref="G656:H656"/>
    <mergeCell ref="B657:F657"/>
    <mergeCell ref="G657:H657"/>
    <mergeCell ref="B658:F658"/>
    <mergeCell ref="G658:H658"/>
    <mergeCell ref="B659:F659"/>
    <mergeCell ref="G659:H659"/>
    <mergeCell ref="B660:F660"/>
    <mergeCell ref="G660:H660"/>
    <mergeCell ref="B661:F661"/>
    <mergeCell ref="G661:H661"/>
    <mergeCell ref="B662:F662"/>
    <mergeCell ref="G662:H662"/>
    <mergeCell ref="B663:F663"/>
    <mergeCell ref="G663:H663"/>
    <mergeCell ref="B664:F664"/>
    <mergeCell ref="G664:H664"/>
    <mergeCell ref="B665:F665"/>
    <mergeCell ref="G665:H665"/>
    <mergeCell ref="B666:F666"/>
    <mergeCell ref="G666:H666"/>
    <mergeCell ref="B667:F667"/>
    <mergeCell ref="G667:H667"/>
    <mergeCell ref="B668:F668"/>
    <mergeCell ref="G668:H668"/>
    <mergeCell ref="B669:F669"/>
    <mergeCell ref="G669:H669"/>
    <mergeCell ref="B670:F670"/>
    <mergeCell ref="G670:H670"/>
    <mergeCell ref="B671:F671"/>
    <mergeCell ref="G671:H671"/>
    <mergeCell ref="P688:T688"/>
    <mergeCell ref="D689:E689"/>
    <mergeCell ref="F689:G689"/>
    <mergeCell ref="H689:I689"/>
    <mergeCell ref="J689:K689"/>
    <mergeCell ref="L689:M689"/>
    <mergeCell ref="N689:O689"/>
    <mergeCell ref="P689:Q689"/>
    <mergeCell ref="R689:S689"/>
    <mergeCell ref="T689:U689"/>
    <mergeCell ref="B672:F672"/>
    <mergeCell ref="G672:H672"/>
    <mergeCell ref="B673:F673"/>
    <mergeCell ref="G673:H673"/>
    <mergeCell ref="B674:F674"/>
    <mergeCell ref="G674:H674"/>
    <mergeCell ref="B675:U675"/>
    <mergeCell ref="B676:F676"/>
    <mergeCell ref="G676:H676"/>
    <mergeCell ref="B677:F677"/>
    <mergeCell ref="G677:H677"/>
    <mergeCell ref="B678:F678"/>
    <mergeCell ref="G678:H678"/>
    <mergeCell ref="B679:F679"/>
    <mergeCell ref="G679:H679"/>
    <mergeCell ref="B680:F680"/>
    <mergeCell ref="G680:H680"/>
    <mergeCell ref="B360:G360"/>
    <mergeCell ref="J360:O360"/>
    <mergeCell ref="R360:U360"/>
    <mergeCell ref="B464:G464"/>
    <mergeCell ref="J714:O714"/>
    <mergeCell ref="C715:F715"/>
    <mergeCell ref="J715:O715"/>
    <mergeCell ref="R715:U715"/>
    <mergeCell ref="B716:G719"/>
    <mergeCell ref="J716:O719"/>
    <mergeCell ref="R716:U719"/>
    <mergeCell ref="B720:G720"/>
    <mergeCell ref="J720:O720"/>
    <mergeCell ref="R720:U720"/>
    <mergeCell ref="B692:C692"/>
    <mergeCell ref="D692:E692"/>
    <mergeCell ref="F692:G692"/>
    <mergeCell ref="H692:I692"/>
    <mergeCell ref="J692:K692"/>
    <mergeCell ref="L692:M692"/>
    <mergeCell ref="N692:O692"/>
    <mergeCell ref="P692:Q692"/>
    <mergeCell ref="R692:S692"/>
    <mergeCell ref="T692:U692"/>
    <mergeCell ref="B695:D695"/>
    <mergeCell ref="E695:U695"/>
    <mergeCell ref="B696:U702"/>
    <mergeCell ref="J705:O705"/>
    <mergeCell ref="R705:U705"/>
    <mergeCell ref="B706:G706"/>
    <mergeCell ref="J706:O710"/>
    <mergeCell ref="R706:U710"/>
    <mergeCell ref="B532:F532"/>
    <mergeCell ref="G532:H532"/>
    <mergeCell ref="B653:F653"/>
    <mergeCell ref="G653:H653"/>
    <mergeCell ref="B711:G711"/>
    <mergeCell ref="J711:O711"/>
    <mergeCell ref="R711:U711"/>
    <mergeCell ref="B690:C690"/>
    <mergeCell ref="D690:E690"/>
    <mergeCell ref="F690:G690"/>
    <mergeCell ref="H690:I690"/>
    <mergeCell ref="J690:K690"/>
    <mergeCell ref="L690:M690"/>
    <mergeCell ref="N690:O690"/>
    <mergeCell ref="P690:Q690"/>
    <mergeCell ref="R690:S690"/>
    <mergeCell ref="T690:U690"/>
    <mergeCell ref="B691:C691"/>
    <mergeCell ref="D691:E691"/>
    <mergeCell ref="F691:G691"/>
    <mergeCell ref="H691:I691"/>
    <mergeCell ref="J691:K691"/>
    <mergeCell ref="B707:G710"/>
    <mergeCell ref="L691:M691"/>
    <mergeCell ref="N691:O691"/>
    <mergeCell ref="P691:Q691"/>
    <mergeCell ref="R691:S691"/>
    <mergeCell ref="T691:U691"/>
    <mergeCell ref="B681:F681"/>
    <mergeCell ref="G681:H681"/>
    <mergeCell ref="D688:I688"/>
    <mergeCell ref="J688:O688"/>
    <mergeCell ref="B101:G101"/>
    <mergeCell ref="B108:G108"/>
    <mergeCell ref="J108:O108"/>
    <mergeCell ref="R108:U108"/>
    <mergeCell ref="B117:G117"/>
    <mergeCell ref="J117:O117"/>
    <mergeCell ref="R117:U117"/>
    <mergeCell ref="B222:G222"/>
    <mergeCell ref="B229:G229"/>
    <mergeCell ref="J229:O229"/>
    <mergeCell ref="R229:U229"/>
    <mergeCell ref="B238:G238"/>
    <mergeCell ref="J238:O238"/>
    <mergeCell ref="R238:U238"/>
    <mergeCell ref="B344:G344"/>
    <mergeCell ref="B351:G351"/>
    <mergeCell ref="J351:O351"/>
    <mergeCell ref="R351:U351"/>
    <mergeCell ref="B169:F169"/>
    <mergeCell ref="G169:H169"/>
    <mergeCell ref="B292:F292"/>
    <mergeCell ref="G292:H292"/>
    <mergeCell ref="B326:U326"/>
    <mergeCell ref="B327:C328"/>
    <mergeCell ref="D327:I327"/>
    <mergeCell ref="J327:O327"/>
    <mergeCell ref="B329:C329"/>
    <mergeCell ref="D329:E329"/>
    <mergeCell ref="F329:G329"/>
    <mergeCell ref="H329:I329"/>
    <mergeCell ref="J329:K329"/>
    <mergeCell ref="L329:M329"/>
    <mergeCell ref="B721:G721"/>
    <mergeCell ref="J721:O721"/>
    <mergeCell ref="R721:U721"/>
    <mergeCell ref="B825:G825"/>
    <mergeCell ref="B946:G946"/>
    <mergeCell ref="B471:G471"/>
    <mergeCell ref="J471:O471"/>
    <mergeCell ref="R471:U471"/>
    <mergeCell ref="B480:G480"/>
    <mergeCell ref="J480:O480"/>
    <mergeCell ref="R480:U480"/>
    <mergeCell ref="B584:G584"/>
    <mergeCell ref="B591:G591"/>
    <mergeCell ref="J591:O591"/>
    <mergeCell ref="R591:U591"/>
    <mergeCell ref="B600:G600"/>
    <mergeCell ref="J600:O600"/>
    <mergeCell ref="R600:U600"/>
    <mergeCell ref="B705:G705"/>
    <mergeCell ref="B712:G712"/>
    <mergeCell ref="J712:O712"/>
    <mergeCell ref="R712:U712"/>
    <mergeCell ref="B682:F682"/>
    <mergeCell ref="G682:H682"/>
    <mergeCell ref="B683:F683"/>
    <mergeCell ref="G683:H683"/>
    <mergeCell ref="B684:F684"/>
    <mergeCell ref="G684:H684"/>
    <mergeCell ref="B685:F685"/>
    <mergeCell ref="G685:H685"/>
    <mergeCell ref="B687:U687"/>
    <mergeCell ref="B688:C689"/>
    <mergeCell ref="B1209:U1209"/>
    <mergeCell ref="B1214:U1214"/>
    <mergeCell ref="B1218:F1218"/>
    <mergeCell ref="G1218:U1218"/>
    <mergeCell ref="B1219:F1219"/>
    <mergeCell ref="G1219:U1219"/>
    <mergeCell ref="B1220:F1220"/>
    <mergeCell ref="G1220:U1220"/>
    <mergeCell ref="B1221:F1221"/>
    <mergeCell ref="G1221:U1221"/>
    <mergeCell ref="B1222:F1222"/>
    <mergeCell ref="G1222:H1222"/>
    <mergeCell ref="I1222:L1222"/>
    <mergeCell ref="N1222:Q1222"/>
    <mergeCell ref="R1222:S1222"/>
    <mergeCell ref="T1222:U1222"/>
    <mergeCell ref="B1223:F1223"/>
    <mergeCell ref="G1223:H1223"/>
    <mergeCell ref="I1223:L1223"/>
    <mergeCell ref="N1223:Q1223"/>
    <mergeCell ref="R1223:U1223"/>
    <mergeCell ref="B1224:F1224"/>
    <mergeCell ref="G1224:U1224"/>
    <mergeCell ref="B1225:F1225"/>
    <mergeCell ref="G1225:U1225"/>
    <mergeCell ref="B1226:U1226"/>
    <mergeCell ref="B1227:D1230"/>
    <mergeCell ref="E1227:F1230"/>
    <mergeCell ref="G1227:U1227"/>
    <mergeCell ref="G1228:H1230"/>
    <mergeCell ref="I1228:N1228"/>
    <mergeCell ref="O1228:U1228"/>
    <mergeCell ref="I1229:K1230"/>
    <mergeCell ref="L1229:N1230"/>
    <mergeCell ref="O1229:Q1230"/>
    <mergeCell ref="R1229:T1230"/>
    <mergeCell ref="U1229:U1230"/>
    <mergeCell ref="B1231:D1231"/>
    <mergeCell ref="E1231:F1231"/>
    <mergeCell ref="G1231:H1231"/>
    <mergeCell ref="I1231:K1231"/>
    <mergeCell ref="L1231:N1231"/>
    <mergeCell ref="O1231:Q1231"/>
    <mergeCell ref="R1231:T1231"/>
    <mergeCell ref="B1232:D1232"/>
    <mergeCell ref="E1232:F1232"/>
    <mergeCell ref="G1232:H1232"/>
    <mergeCell ref="I1232:K1232"/>
    <mergeCell ref="L1232:N1232"/>
    <mergeCell ref="O1232:Q1232"/>
    <mergeCell ref="R1232:T1232"/>
    <mergeCell ref="B1233:D1233"/>
    <mergeCell ref="E1233:F1233"/>
    <mergeCell ref="G1233:H1233"/>
    <mergeCell ref="I1233:K1233"/>
    <mergeCell ref="L1233:N1233"/>
    <mergeCell ref="O1233:Q1233"/>
    <mergeCell ref="R1233:T1233"/>
    <mergeCell ref="B1234:D1234"/>
    <mergeCell ref="E1234:F1234"/>
    <mergeCell ref="G1234:H1234"/>
    <mergeCell ref="I1234:K1234"/>
    <mergeCell ref="L1234:N1234"/>
    <mergeCell ref="O1234:Q1234"/>
    <mergeCell ref="R1234:T1234"/>
    <mergeCell ref="B1235:D1235"/>
    <mergeCell ref="E1235:F1235"/>
    <mergeCell ref="G1235:H1235"/>
    <mergeCell ref="I1235:K1235"/>
    <mergeCell ref="L1235:N1235"/>
    <mergeCell ref="O1235:Q1235"/>
    <mergeCell ref="R1235:T1235"/>
    <mergeCell ref="B1236:D1236"/>
    <mergeCell ref="E1236:F1236"/>
    <mergeCell ref="G1236:H1236"/>
    <mergeCell ref="I1236:K1236"/>
    <mergeCell ref="L1236:N1236"/>
    <mergeCell ref="O1236:Q1236"/>
    <mergeCell ref="R1236:T1236"/>
    <mergeCell ref="B1237:D1237"/>
    <mergeCell ref="E1237:F1237"/>
    <mergeCell ref="G1237:H1237"/>
    <mergeCell ref="I1237:K1237"/>
    <mergeCell ref="L1237:N1237"/>
    <mergeCell ref="O1237:Q1237"/>
    <mergeCell ref="R1237:T1237"/>
    <mergeCell ref="B1238:D1238"/>
    <mergeCell ref="E1238:F1238"/>
    <mergeCell ref="G1238:H1238"/>
    <mergeCell ref="I1238:K1238"/>
    <mergeCell ref="L1238:N1238"/>
    <mergeCell ref="O1238:Q1238"/>
    <mergeCell ref="R1238:T1238"/>
    <mergeCell ref="B1239:D1239"/>
    <mergeCell ref="E1239:F1239"/>
    <mergeCell ref="G1239:H1239"/>
    <mergeCell ref="I1239:K1239"/>
    <mergeCell ref="L1239:N1239"/>
    <mergeCell ref="O1239:Q1239"/>
    <mergeCell ref="R1239:T1239"/>
    <mergeCell ref="B1240:D1240"/>
    <mergeCell ref="E1240:F1240"/>
    <mergeCell ref="G1240:H1240"/>
    <mergeCell ref="I1240:K1240"/>
    <mergeCell ref="L1240:N1240"/>
    <mergeCell ref="O1240:Q1240"/>
    <mergeCell ref="R1240:T1240"/>
    <mergeCell ref="B1241:D1241"/>
    <mergeCell ref="E1241:F1241"/>
    <mergeCell ref="G1241:H1241"/>
    <mergeCell ref="I1241:K1241"/>
    <mergeCell ref="L1241:N1241"/>
    <mergeCell ref="O1241:Q1241"/>
    <mergeCell ref="R1241:T1241"/>
    <mergeCell ref="B1242:D1242"/>
    <mergeCell ref="E1242:F1242"/>
    <mergeCell ref="G1242:H1242"/>
    <mergeCell ref="I1242:K1242"/>
    <mergeCell ref="L1242:N1242"/>
    <mergeCell ref="O1242:Q1242"/>
    <mergeCell ref="R1242:T1242"/>
    <mergeCell ref="B1243:D1243"/>
    <mergeCell ref="E1243:F1243"/>
    <mergeCell ref="G1243:H1243"/>
    <mergeCell ref="I1243:K1243"/>
    <mergeCell ref="L1243:N1243"/>
    <mergeCell ref="O1243:Q1243"/>
    <mergeCell ref="R1243:T1243"/>
    <mergeCell ref="B1244:D1244"/>
    <mergeCell ref="E1244:F1244"/>
    <mergeCell ref="G1244:H1244"/>
    <mergeCell ref="I1244:K1244"/>
    <mergeCell ref="L1244:N1244"/>
    <mergeCell ref="O1244:Q1244"/>
    <mergeCell ref="R1244:T1244"/>
    <mergeCell ref="B1245:D1245"/>
    <mergeCell ref="E1245:F1245"/>
    <mergeCell ref="G1245:H1245"/>
    <mergeCell ref="I1245:K1245"/>
    <mergeCell ref="L1245:N1245"/>
    <mergeCell ref="O1245:Q1245"/>
    <mergeCell ref="R1245:T1245"/>
    <mergeCell ref="B1246:D1246"/>
    <mergeCell ref="E1246:F1246"/>
    <mergeCell ref="G1246:H1246"/>
    <mergeCell ref="I1246:K1246"/>
    <mergeCell ref="L1246:N1246"/>
    <mergeCell ref="O1246:Q1246"/>
    <mergeCell ref="R1246:T1246"/>
    <mergeCell ref="B1247:D1247"/>
    <mergeCell ref="E1247:F1247"/>
    <mergeCell ref="G1247:H1247"/>
    <mergeCell ref="I1247:K1247"/>
    <mergeCell ref="L1247:N1247"/>
    <mergeCell ref="O1247:Q1247"/>
    <mergeCell ref="R1247:T1247"/>
    <mergeCell ref="B1248:D1248"/>
    <mergeCell ref="E1248:F1248"/>
    <mergeCell ref="G1248:H1248"/>
    <mergeCell ref="I1248:K1248"/>
    <mergeCell ref="L1248:N1248"/>
    <mergeCell ref="O1248:Q1248"/>
    <mergeCell ref="R1248:T1248"/>
    <mergeCell ref="B1249:D1249"/>
    <mergeCell ref="E1249:F1249"/>
    <mergeCell ref="G1249:H1249"/>
    <mergeCell ref="I1249:K1249"/>
    <mergeCell ref="L1249:N1249"/>
    <mergeCell ref="O1249:Q1249"/>
    <mergeCell ref="R1249:T1249"/>
    <mergeCell ref="B1250:F1250"/>
    <mergeCell ref="G1250:N1250"/>
    <mergeCell ref="O1250:U1250"/>
    <mergeCell ref="B1252:F1255"/>
    <mergeCell ref="G1252:U1252"/>
    <mergeCell ref="G1253:H1255"/>
    <mergeCell ref="I1253:N1253"/>
    <mergeCell ref="O1253:U1253"/>
    <mergeCell ref="I1254:K1254"/>
    <mergeCell ref="L1254:N1254"/>
    <mergeCell ref="O1254:Q1254"/>
    <mergeCell ref="R1254:T1254"/>
    <mergeCell ref="U1254:U1255"/>
    <mergeCell ref="B1256:U1256"/>
    <mergeCell ref="B1257:F1257"/>
    <mergeCell ref="G1257:H1257"/>
    <mergeCell ref="B1259:F1259"/>
    <mergeCell ref="G1259:H1259"/>
    <mergeCell ref="B1258:F1258"/>
    <mergeCell ref="B1260:F1260"/>
    <mergeCell ref="G1260:H1260"/>
    <mergeCell ref="B1261:F1261"/>
    <mergeCell ref="G1261:H1261"/>
    <mergeCell ref="B1263:F1263"/>
    <mergeCell ref="G1263:H1263"/>
    <mergeCell ref="B1264:F1264"/>
    <mergeCell ref="G1264:H1264"/>
    <mergeCell ref="B1265:F1265"/>
    <mergeCell ref="G1265:H1265"/>
    <mergeCell ref="B1266:F1266"/>
    <mergeCell ref="G1266:H1266"/>
    <mergeCell ref="B1267:F1267"/>
    <mergeCell ref="G1267:H1267"/>
    <mergeCell ref="B1268:F1268"/>
    <mergeCell ref="G1268:H1268"/>
    <mergeCell ref="B1269:F1269"/>
    <mergeCell ref="G1269:H1269"/>
    <mergeCell ref="B1262:F1262"/>
    <mergeCell ref="B1271:F1271"/>
    <mergeCell ref="G1271:H1271"/>
    <mergeCell ref="B1272:F1272"/>
    <mergeCell ref="G1272:H1272"/>
    <mergeCell ref="B1275:F1275"/>
    <mergeCell ref="G1275:H1275"/>
    <mergeCell ref="B1276:F1276"/>
    <mergeCell ref="G1276:H1276"/>
    <mergeCell ref="B1277:F1277"/>
    <mergeCell ref="G1277:H1277"/>
    <mergeCell ref="B1278:F1278"/>
    <mergeCell ref="G1278:H1278"/>
    <mergeCell ref="B1279:F1279"/>
    <mergeCell ref="G1279:H1279"/>
    <mergeCell ref="B1280:F1280"/>
    <mergeCell ref="G1280:H1280"/>
    <mergeCell ref="B1281:F1281"/>
    <mergeCell ref="G1281:H1281"/>
    <mergeCell ref="B1282:F1282"/>
    <mergeCell ref="G1282:H1282"/>
    <mergeCell ref="B1283:F1283"/>
    <mergeCell ref="G1283:H1283"/>
    <mergeCell ref="B1284:F1284"/>
    <mergeCell ref="G1284:H1284"/>
    <mergeCell ref="B1285:F1285"/>
    <mergeCell ref="G1285:H1285"/>
    <mergeCell ref="B1286:U1286"/>
    <mergeCell ref="B1287:F1287"/>
    <mergeCell ref="G1287:H1287"/>
    <mergeCell ref="B1288:F1288"/>
    <mergeCell ref="G1288:H1288"/>
    <mergeCell ref="B1289:F1289"/>
    <mergeCell ref="G1289:H1289"/>
    <mergeCell ref="B1290:F1290"/>
    <mergeCell ref="G1290:H1290"/>
    <mergeCell ref="J1302:K1302"/>
    <mergeCell ref="L1302:M1302"/>
    <mergeCell ref="N1302:O1302"/>
    <mergeCell ref="P1302:Q1302"/>
    <mergeCell ref="R1302:S1302"/>
    <mergeCell ref="T1302:U1302"/>
    <mergeCell ref="B1291:F1291"/>
    <mergeCell ref="G1291:H1291"/>
    <mergeCell ref="B1292:F1292"/>
    <mergeCell ref="G1292:H1292"/>
    <mergeCell ref="B1293:F1293"/>
    <mergeCell ref="G1293:H1293"/>
    <mergeCell ref="B1294:F1294"/>
    <mergeCell ref="G1294:H1294"/>
    <mergeCell ref="B1295:F1295"/>
    <mergeCell ref="G1295:H1295"/>
    <mergeCell ref="B1296:F1296"/>
    <mergeCell ref="G1296:H1296"/>
    <mergeCell ref="B1298:U1298"/>
    <mergeCell ref="B1299:C1300"/>
    <mergeCell ref="D1299:I1299"/>
    <mergeCell ref="J1299:O1299"/>
    <mergeCell ref="P1299:T1299"/>
    <mergeCell ref="D1300:E1300"/>
    <mergeCell ref="F1300:G1300"/>
    <mergeCell ref="H1300:I1300"/>
    <mergeCell ref="J1300:K1300"/>
    <mergeCell ref="L1300:M1300"/>
    <mergeCell ref="N1300:O1300"/>
    <mergeCell ref="P1300:Q1300"/>
    <mergeCell ref="R1300:S1300"/>
    <mergeCell ref="T1300:U1300"/>
    <mergeCell ref="B1327:G1330"/>
    <mergeCell ref="J1327:O1330"/>
    <mergeCell ref="R1327:U1330"/>
    <mergeCell ref="B1331:G1331"/>
    <mergeCell ref="J1331:O1331"/>
    <mergeCell ref="R1331:U1331"/>
    <mergeCell ref="B1332:G1332"/>
    <mergeCell ref="J1332:O1332"/>
    <mergeCell ref="R1332:U1332"/>
    <mergeCell ref="B1303:C1303"/>
    <mergeCell ref="D1303:E1303"/>
    <mergeCell ref="F1303:G1303"/>
    <mergeCell ref="H1303:I1303"/>
    <mergeCell ref="J1303:K1303"/>
    <mergeCell ref="L1303:M1303"/>
    <mergeCell ref="N1303:O1303"/>
    <mergeCell ref="P1303:Q1303"/>
    <mergeCell ref="R1303:S1303"/>
    <mergeCell ref="T1303:U1303"/>
    <mergeCell ref="B1306:D1306"/>
    <mergeCell ref="E1306:U1306"/>
    <mergeCell ref="B1307:U1313"/>
    <mergeCell ref="B1316:G1316"/>
    <mergeCell ref="J1316:O1316"/>
    <mergeCell ref="R1316:U1316"/>
    <mergeCell ref="B1317:G1317"/>
    <mergeCell ref="J1317:O1321"/>
    <mergeCell ref="R1317:U1321"/>
    <mergeCell ref="B1318:G1321"/>
    <mergeCell ref="B1270:F1270"/>
    <mergeCell ref="B1274:F1274"/>
    <mergeCell ref="B1273:F1273"/>
    <mergeCell ref="G1258:H1258"/>
    <mergeCell ref="G1262:H1262"/>
    <mergeCell ref="G1270:H1270"/>
    <mergeCell ref="G1273:H1273"/>
    <mergeCell ref="G1274:H1274"/>
    <mergeCell ref="B1322:G1322"/>
    <mergeCell ref="J1322:O1322"/>
    <mergeCell ref="R1322:U1322"/>
    <mergeCell ref="B1323:G1323"/>
    <mergeCell ref="J1323:O1323"/>
    <mergeCell ref="R1323:U1323"/>
    <mergeCell ref="J1325:O1325"/>
    <mergeCell ref="C1326:F1326"/>
    <mergeCell ref="J1326:O1326"/>
    <mergeCell ref="R1326:U1326"/>
    <mergeCell ref="B1301:C1301"/>
    <mergeCell ref="D1301:E1301"/>
    <mergeCell ref="F1301:G1301"/>
    <mergeCell ref="H1301:I1301"/>
    <mergeCell ref="J1301:K1301"/>
    <mergeCell ref="L1301:M1301"/>
    <mergeCell ref="N1301:O1301"/>
    <mergeCell ref="P1301:Q1301"/>
    <mergeCell ref="R1301:S1301"/>
    <mergeCell ref="T1301:U1301"/>
    <mergeCell ref="B1302:C1302"/>
    <mergeCell ref="D1302:E1302"/>
    <mergeCell ref="F1302:G1302"/>
    <mergeCell ref="H1302:I1302"/>
    <mergeCell ref="B1334:U1334"/>
    <mergeCell ref="B1339:U1339"/>
    <mergeCell ref="B1343:F1343"/>
    <mergeCell ref="G1343:U1343"/>
    <mergeCell ref="B1344:F1344"/>
    <mergeCell ref="G1344:U1344"/>
    <mergeCell ref="B1345:F1345"/>
    <mergeCell ref="G1345:U1345"/>
    <mergeCell ref="B1346:F1346"/>
    <mergeCell ref="G1346:U1346"/>
    <mergeCell ref="B1347:F1347"/>
    <mergeCell ref="G1347:H1347"/>
    <mergeCell ref="I1347:L1347"/>
    <mergeCell ref="N1347:Q1347"/>
    <mergeCell ref="R1347:S1347"/>
    <mergeCell ref="T1347:U1347"/>
    <mergeCell ref="B1348:F1348"/>
    <mergeCell ref="G1348:H1348"/>
    <mergeCell ref="I1348:L1348"/>
    <mergeCell ref="N1348:Q1348"/>
    <mergeCell ref="R1348:U1348"/>
    <mergeCell ref="B1349:F1349"/>
    <mergeCell ref="G1349:U1349"/>
    <mergeCell ref="B1350:F1350"/>
    <mergeCell ref="G1350:U1350"/>
    <mergeCell ref="B1351:U1351"/>
    <mergeCell ref="B1352:D1355"/>
    <mergeCell ref="E1352:F1355"/>
    <mergeCell ref="G1352:U1352"/>
    <mergeCell ref="G1353:H1355"/>
    <mergeCell ref="I1353:N1353"/>
    <mergeCell ref="O1353:U1353"/>
    <mergeCell ref="I1354:K1355"/>
    <mergeCell ref="L1354:N1355"/>
    <mergeCell ref="O1354:Q1355"/>
    <mergeCell ref="R1354:T1355"/>
    <mergeCell ref="U1354:U1355"/>
    <mergeCell ref="B1356:D1356"/>
    <mergeCell ref="E1356:F1356"/>
    <mergeCell ref="G1356:H1356"/>
    <mergeCell ref="I1356:K1356"/>
    <mergeCell ref="L1356:N1356"/>
    <mergeCell ref="O1356:Q1356"/>
    <mergeCell ref="R1356:T1356"/>
    <mergeCell ref="B1357:D1357"/>
    <mergeCell ref="E1357:F1357"/>
    <mergeCell ref="G1357:H1357"/>
    <mergeCell ref="I1357:K1357"/>
    <mergeCell ref="L1357:N1357"/>
    <mergeCell ref="O1357:Q1357"/>
    <mergeCell ref="R1357:T1357"/>
    <mergeCell ref="B1358:D1358"/>
    <mergeCell ref="E1358:F1358"/>
    <mergeCell ref="G1358:H1358"/>
    <mergeCell ref="I1358:K1358"/>
    <mergeCell ref="L1358:N1358"/>
    <mergeCell ref="O1358:Q1358"/>
    <mergeCell ref="R1358:T1358"/>
    <mergeCell ref="B1359:D1359"/>
    <mergeCell ref="E1359:F1359"/>
    <mergeCell ref="G1359:H1359"/>
    <mergeCell ref="I1359:K1359"/>
    <mergeCell ref="L1359:N1359"/>
    <mergeCell ref="O1359:Q1359"/>
    <mergeCell ref="R1359:T1359"/>
    <mergeCell ref="B1360:D1360"/>
    <mergeCell ref="E1360:F1360"/>
    <mergeCell ref="G1360:H1360"/>
    <mergeCell ref="I1360:K1360"/>
    <mergeCell ref="L1360:N1360"/>
    <mergeCell ref="O1360:Q1360"/>
    <mergeCell ref="R1360:T1360"/>
    <mergeCell ref="B1361:D1361"/>
    <mergeCell ref="E1361:F1361"/>
    <mergeCell ref="G1361:H1361"/>
    <mergeCell ref="I1361:K1361"/>
    <mergeCell ref="L1361:N1361"/>
    <mergeCell ref="O1361:Q1361"/>
    <mergeCell ref="R1361:T1361"/>
    <mergeCell ref="B1362:D1362"/>
    <mergeCell ref="E1362:F1362"/>
    <mergeCell ref="G1362:H1362"/>
    <mergeCell ref="I1362:K1362"/>
    <mergeCell ref="L1362:N1362"/>
    <mergeCell ref="O1362:Q1362"/>
    <mergeCell ref="R1362:T1362"/>
    <mergeCell ref="B1363:D1363"/>
    <mergeCell ref="E1363:F1363"/>
    <mergeCell ref="G1363:H1363"/>
    <mergeCell ref="I1363:K1363"/>
    <mergeCell ref="L1363:N1363"/>
    <mergeCell ref="O1363:Q1363"/>
    <mergeCell ref="R1363:T1363"/>
    <mergeCell ref="B1364:D1364"/>
    <mergeCell ref="E1364:F1364"/>
    <mergeCell ref="G1364:H1364"/>
    <mergeCell ref="I1364:K1364"/>
    <mergeCell ref="L1364:N1364"/>
    <mergeCell ref="O1364:Q1364"/>
    <mergeCell ref="R1364:T1364"/>
    <mergeCell ref="B1365:D1365"/>
    <mergeCell ref="E1365:F1365"/>
    <mergeCell ref="G1365:H1365"/>
    <mergeCell ref="I1365:K1365"/>
    <mergeCell ref="L1365:N1365"/>
    <mergeCell ref="O1365:Q1365"/>
    <mergeCell ref="R1365:T1365"/>
    <mergeCell ref="B1366:D1366"/>
    <mergeCell ref="E1366:F1366"/>
    <mergeCell ref="G1366:H1366"/>
    <mergeCell ref="I1366:K1366"/>
    <mergeCell ref="L1366:N1366"/>
    <mergeCell ref="O1366:Q1366"/>
    <mergeCell ref="R1366:T1366"/>
    <mergeCell ref="B1367:D1367"/>
    <mergeCell ref="E1367:F1367"/>
    <mergeCell ref="G1367:H1367"/>
    <mergeCell ref="I1367:K1367"/>
    <mergeCell ref="L1367:N1367"/>
    <mergeCell ref="O1367:Q1367"/>
    <mergeCell ref="R1367:T1367"/>
    <mergeCell ref="B1368:D1368"/>
    <mergeCell ref="E1368:F1368"/>
    <mergeCell ref="G1368:H1368"/>
    <mergeCell ref="I1368:K1368"/>
    <mergeCell ref="L1368:N1368"/>
    <mergeCell ref="O1368:Q1368"/>
    <mergeCell ref="R1368:T1368"/>
    <mergeCell ref="B1369:D1369"/>
    <mergeCell ref="E1369:F1369"/>
    <mergeCell ref="G1369:H1369"/>
    <mergeCell ref="I1369:K1369"/>
    <mergeCell ref="L1369:N1369"/>
    <mergeCell ref="O1369:Q1369"/>
    <mergeCell ref="R1369:T1369"/>
    <mergeCell ref="B1370:D1370"/>
    <mergeCell ref="E1370:F1370"/>
    <mergeCell ref="G1370:H1370"/>
    <mergeCell ref="I1370:K1370"/>
    <mergeCell ref="L1370:N1370"/>
    <mergeCell ref="O1370:Q1370"/>
    <mergeCell ref="R1370:T1370"/>
    <mergeCell ref="B1371:D1371"/>
    <mergeCell ref="E1371:F1371"/>
    <mergeCell ref="G1371:H1371"/>
    <mergeCell ref="I1371:K1371"/>
    <mergeCell ref="L1371:N1371"/>
    <mergeCell ref="O1371:Q1371"/>
    <mergeCell ref="R1371:T1371"/>
    <mergeCell ref="B1372:D1372"/>
    <mergeCell ref="E1372:F1372"/>
    <mergeCell ref="G1372:H1372"/>
    <mergeCell ref="I1372:K1372"/>
    <mergeCell ref="L1372:N1372"/>
    <mergeCell ref="O1372:Q1372"/>
    <mergeCell ref="R1372:T1372"/>
    <mergeCell ref="B1373:D1373"/>
    <mergeCell ref="E1373:F1373"/>
    <mergeCell ref="G1373:H1373"/>
    <mergeCell ref="I1373:K1373"/>
    <mergeCell ref="L1373:N1373"/>
    <mergeCell ref="O1373:Q1373"/>
    <mergeCell ref="R1373:T1373"/>
    <mergeCell ref="B1374:D1374"/>
    <mergeCell ref="E1374:F1374"/>
    <mergeCell ref="G1374:H1374"/>
    <mergeCell ref="I1374:K1374"/>
    <mergeCell ref="L1374:N1374"/>
    <mergeCell ref="O1374:Q1374"/>
    <mergeCell ref="R1374:T1374"/>
    <mergeCell ref="B1375:F1375"/>
    <mergeCell ref="G1375:N1375"/>
    <mergeCell ref="O1375:U1375"/>
    <mergeCell ref="B1377:F1380"/>
    <mergeCell ref="G1377:U1377"/>
    <mergeCell ref="G1378:H1380"/>
    <mergeCell ref="I1378:N1378"/>
    <mergeCell ref="O1378:U1378"/>
    <mergeCell ref="I1379:K1379"/>
    <mergeCell ref="L1379:N1379"/>
    <mergeCell ref="O1379:Q1379"/>
    <mergeCell ref="R1379:T1379"/>
    <mergeCell ref="U1379:U1380"/>
    <mergeCell ref="B1381:U1381"/>
    <mergeCell ref="B1382:F1382"/>
    <mergeCell ref="G1382:H1382"/>
    <mergeCell ref="B1383:F1383"/>
    <mergeCell ref="G1383:H1383"/>
    <mergeCell ref="B1384:F1384"/>
    <mergeCell ref="G1384:H1384"/>
    <mergeCell ref="B1385:F1385"/>
    <mergeCell ref="G1385:H1385"/>
    <mergeCell ref="B1386:F1386"/>
    <mergeCell ref="G1386:H1386"/>
    <mergeCell ref="B1387:F1387"/>
    <mergeCell ref="G1387:H1387"/>
    <mergeCell ref="B1388:F1388"/>
    <mergeCell ref="G1388:H1388"/>
    <mergeCell ref="B1389:F1389"/>
    <mergeCell ref="G1389:H1389"/>
    <mergeCell ref="B1391:F1391"/>
    <mergeCell ref="G1391:H1391"/>
    <mergeCell ref="B1392:F1392"/>
    <mergeCell ref="G1392:H1392"/>
    <mergeCell ref="B1393:F1393"/>
    <mergeCell ref="G1393:H1393"/>
    <mergeCell ref="B1390:F1390"/>
    <mergeCell ref="G1390:H1390"/>
    <mergeCell ref="B1394:F1394"/>
    <mergeCell ref="G1394:H1394"/>
    <mergeCell ref="B1396:F1396"/>
    <mergeCell ref="G1396:H1396"/>
    <mergeCell ref="B1397:F1397"/>
    <mergeCell ref="G1397:H1397"/>
    <mergeCell ref="B1398:F1398"/>
    <mergeCell ref="G1398:H1398"/>
    <mergeCell ref="B1399:F1399"/>
    <mergeCell ref="G1399:H1399"/>
    <mergeCell ref="B1400:F1400"/>
    <mergeCell ref="G1400:H1400"/>
    <mergeCell ref="B1401:F1401"/>
    <mergeCell ref="G1401:H1401"/>
    <mergeCell ref="B1402:F1402"/>
    <mergeCell ref="G1402:H1402"/>
    <mergeCell ref="B1403:F1403"/>
    <mergeCell ref="G1403:H1403"/>
    <mergeCell ref="B1395:F1395"/>
    <mergeCell ref="G1395:H1395"/>
    <mergeCell ref="B1404:F1404"/>
    <mergeCell ref="G1404:H1404"/>
    <mergeCell ref="B1405:F1405"/>
    <mergeCell ref="G1405:H1405"/>
    <mergeCell ref="B1406:F1406"/>
    <mergeCell ref="G1406:H1406"/>
    <mergeCell ref="B1407:F1407"/>
    <mergeCell ref="G1407:H1407"/>
    <mergeCell ref="B1408:F1408"/>
    <mergeCell ref="G1408:H1408"/>
    <mergeCell ref="B1409:F1409"/>
    <mergeCell ref="G1409:H1409"/>
    <mergeCell ref="B1410:F1410"/>
    <mergeCell ref="G1410:H1410"/>
    <mergeCell ref="B1411:F1411"/>
    <mergeCell ref="G1411:H1411"/>
    <mergeCell ref="B1412:F1412"/>
    <mergeCell ref="G1412:H1412"/>
    <mergeCell ref="B1413:U1413"/>
    <mergeCell ref="B1414:F1414"/>
    <mergeCell ref="G1414:H1414"/>
    <mergeCell ref="B1415:F1415"/>
    <mergeCell ref="G1415:H1415"/>
    <mergeCell ref="B1416:F1416"/>
    <mergeCell ref="G1416:H1416"/>
    <mergeCell ref="B1417:F1417"/>
    <mergeCell ref="G1417:H1417"/>
    <mergeCell ref="B1418:F1418"/>
    <mergeCell ref="G1418:H1418"/>
    <mergeCell ref="B1419:F1419"/>
    <mergeCell ref="G1419:H1419"/>
    <mergeCell ref="B1420:F1420"/>
    <mergeCell ref="G1420:H1420"/>
    <mergeCell ref="B1421:F1421"/>
    <mergeCell ref="G1421:H1421"/>
    <mergeCell ref="B1429:C1429"/>
    <mergeCell ref="D1429:E1429"/>
    <mergeCell ref="F1429:G1429"/>
    <mergeCell ref="H1429:I1429"/>
    <mergeCell ref="J1429:K1429"/>
    <mergeCell ref="L1429:M1429"/>
    <mergeCell ref="N1429:O1429"/>
    <mergeCell ref="P1429:Q1429"/>
    <mergeCell ref="R1429:S1429"/>
    <mergeCell ref="T1429:U1429"/>
    <mergeCell ref="B1422:F1422"/>
    <mergeCell ref="G1422:H1422"/>
    <mergeCell ref="B1423:F1423"/>
    <mergeCell ref="G1423:H1423"/>
    <mergeCell ref="B1425:U1425"/>
    <mergeCell ref="B1426:C1427"/>
    <mergeCell ref="D1426:I1426"/>
    <mergeCell ref="J1426:O1426"/>
    <mergeCell ref="P1426:T1426"/>
    <mergeCell ref="D1427:E1427"/>
    <mergeCell ref="F1427:G1427"/>
    <mergeCell ref="H1427:I1427"/>
    <mergeCell ref="J1427:K1427"/>
    <mergeCell ref="L1427:M1427"/>
    <mergeCell ref="N1427:O1427"/>
    <mergeCell ref="P1427:Q1427"/>
    <mergeCell ref="R1427:S1427"/>
    <mergeCell ref="T1427:U1427"/>
    <mergeCell ref="B1450:G1450"/>
    <mergeCell ref="J1450:O1450"/>
    <mergeCell ref="R1450:U1450"/>
    <mergeCell ref="J1452:O1452"/>
    <mergeCell ref="C1453:F1453"/>
    <mergeCell ref="J1453:O1453"/>
    <mergeCell ref="R1453:U1453"/>
    <mergeCell ref="B1454:G1457"/>
    <mergeCell ref="J1454:O1457"/>
    <mergeCell ref="R1454:U1457"/>
    <mergeCell ref="B1458:G1458"/>
    <mergeCell ref="J1458:O1458"/>
    <mergeCell ref="R1458:U1458"/>
    <mergeCell ref="B1459:G1459"/>
    <mergeCell ref="J1459:O1459"/>
    <mergeCell ref="R1459:U1459"/>
    <mergeCell ref="B1430:C1430"/>
    <mergeCell ref="D1430:E1430"/>
    <mergeCell ref="F1430:G1430"/>
    <mergeCell ref="H1430:I1430"/>
    <mergeCell ref="J1430:K1430"/>
    <mergeCell ref="L1430:M1430"/>
    <mergeCell ref="N1430:O1430"/>
    <mergeCell ref="P1430:Q1430"/>
    <mergeCell ref="R1430:S1430"/>
    <mergeCell ref="T1430:U1430"/>
    <mergeCell ref="B1433:D1433"/>
    <mergeCell ref="E1433:U1433"/>
    <mergeCell ref="B1434:U1440"/>
    <mergeCell ref="B1443:G1443"/>
    <mergeCell ref="J1443:O1443"/>
    <mergeCell ref="R1443:U1443"/>
    <mergeCell ref="V19:W20"/>
    <mergeCell ref="X19:Y20"/>
    <mergeCell ref="Z19:AA20"/>
    <mergeCell ref="V140:W141"/>
    <mergeCell ref="X140:Y141"/>
    <mergeCell ref="Z140:AA141"/>
    <mergeCell ref="V165:W166"/>
    <mergeCell ref="X165:Y166"/>
    <mergeCell ref="Z165:AA166"/>
    <mergeCell ref="V262:W263"/>
    <mergeCell ref="X262:Y263"/>
    <mergeCell ref="Z262:AA263"/>
    <mergeCell ref="V287:W288"/>
    <mergeCell ref="X287:Y288"/>
    <mergeCell ref="Z287:AA288"/>
    <mergeCell ref="B1449:G1449"/>
    <mergeCell ref="J1449:O1449"/>
    <mergeCell ref="R1449:U1449"/>
    <mergeCell ref="B1444:G1444"/>
    <mergeCell ref="J1444:O1448"/>
    <mergeCell ref="R1444:U1448"/>
    <mergeCell ref="B1445:G1448"/>
    <mergeCell ref="B1428:C1428"/>
    <mergeCell ref="D1428:E1428"/>
    <mergeCell ref="F1428:G1428"/>
    <mergeCell ref="H1428:I1428"/>
    <mergeCell ref="J1428:K1428"/>
    <mergeCell ref="L1428:M1428"/>
    <mergeCell ref="N1428:O1428"/>
    <mergeCell ref="P1428:Q1428"/>
    <mergeCell ref="R1428:S1428"/>
    <mergeCell ref="T1428:U1428"/>
    <mergeCell ref="Z1108:AA1109"/>
    <mergeCell ref="V1229:W1230"/>
    <mergeCell ref="X1229:Y1230"/>
    <mergeCell ref="V382:W383"/>
    <mergeCell ref="X382:Y383"/>
    <mergeCell ref="Z382:AA383"/>
    <mergeCell ref="V407:W408"/>
    <mergeCell ref="X407:Y408"/>
    <mergeCell ref="Z407:AA408"/>
    <mergeCell ref="V527:W528"/>
    <mergeCell ref="X527:Y528"/>
    <mergeCell ref="Z527:AA528"/>
    <mergeCell ref="V648:W649"/>
    <mergeCell ref="X648:Y649"/>
    <mergeCell ref="Z648:AA649"/>
    <mergeCell ref="V768:W769"/>
    <mergeCell ref="X768:Y769"/>
    <mergeCell ref="Z768:AA769"/>
    <mergeCell ref="V889:W890"/>
    <mergeCell ref="X889:Y890"/>
    <mergeCell ref="Z889:AA890"/>
    <mergeCell ref="Z1229:AA1230"/>
    <mergeCell ref="V1354:W1355"/>
    <mergeCell ref="X1354:Y1355"/>
    <mergeCell ref="Z1354:AA1355"/>
    <mergeCell ref="V1011:W1012"/>
    <mergeCell ref="X1011:Y1012"/>
    <mergeCell ref="Z1011:AA1012"/>
    <mergeCell ref="V1133:W1134"/>
    <mergeCell ref="X1133:Y1134"/>
    <mergeCell ref="Z1133:AA1134"/>
    <mergeCell ref="V1254:W1255"/>
    <mergeCell ref="X1254:Y1255"/>
    <mergeCell ref="Z1254:AA1255"/>
    <mergeCell ref="V1379:W1380"/>
    <mergeCell ref="X1379:Y1380"/>
    <mergeCell ref="Z1379:AA1380"/>
    <mergeCell ref="V502:W503"/>
    <mergeCell ref="X502:Y503"/>
    <mergeCell ref="Z502:AA503"/>
    <mergeCell ref="V623:W624"/>
    <mergeCell ref="X623:Y624"/>
    <mergeCell ref="Z623:AA624"/>
    <mergeCell ref="V743:W744"/>
    <mergeCell ref="X743:Y744"/>
    <mergeCell ref="Z743:AA744"/>
    <mergeCell ref="V864:W865"/>
    <mergeCell ref="X864:Y865"/>
    <mergeCell ref="Z864:AA865"/>
    <mergeCell ref="V986:W987"/>
    <mergeCell ref="X986:Y987"/>
    <mergeCell ref="Z986:AA987"/>
    <mergeCell ref="V1108:W1109"/>
    <mergeCell ref="X1108:Y1109"/>
  </mergeCells>
  <printOptions horizontalCentered="1" verticalCentered="1"/>
  <pageMargins left="0" right="0" top="0" bottom="0" header="0.31496062992125984" footer="0.31496062992125984"/>
  <pageSetup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U92"/>
  <sheetViews>
    <sheetView showGridLines="0" topLeftCell="F52" zoomScale="80" zoomScaleNormal="80" workbookViewId="0">
      <selection activeCell="G14" sqref="G14:U14"/>
    </sheetView>
  </sheetViews>
  <sheetFormatPr baseColWidth="10" defaultRowHeight="15"/>
  <sheetData>
    <row r="3" spans="1:21">
      <c r="F3" s="1"/>
      <c r="G3" s="1"/>
      <c r="H3" s="1"/>
      <c r="I3" s="1"/>
      <c r="J3" s="1"/>
      <c r="K3" s="1"/>
      <c r="L3" s="1"/>
      <c r="M3" s="1"/>
      <c r="N3" s="1"/>
      <c r="O3" s="1"/>
    </row>
    <row r="4" spans="1:21" ht="25.5">
      <c r="B4" s="427" t="s">
        <v>47</v>
      </c>
      <c r="C4" s="427"/>
      <c r="D4" s="427"/>
      <c r="E4" s="427"/>
      <c r="F4" s="427"/>
      <c r="G4" s="427"/>
      <c r="H4" s="427"/>
      <c r="I4" s="427"/>
      <c r="J4" s="427"/>
      <c r="K4" s="427"/>
      <c r="L4" s="427"/>
      <c r="M4" s="427"/>
      <c r="N4" s="427"/>
      <c r="O4" s="427"/>
      <c r="P4" s="427"/>
      <c r="Q4" s="427"/>
      <c r="R4" s="427"/>
      <c r="S4" s="427"/>
      <c r="T4" s="427"/>
      <c r="U4" s="427"/>
    </row>
    <row r="5" spans="1:21">
      <c r="F5" t="s">
        <v>0</v>
      </c>
    </row>
    <row r="6" spans="1:21" ht="21.75">
      <c r="B6" s="2"/>
      <c r="C6" s="2"/>
      <c r="D6" s="2"/>
      <c r="E6" s="2"/>
      <c r="F6" s="2"/>
      <c r="G6" s="2"/>
      <c r="H6" s="2"/>
      <c r="I6" s="2"/>
      <c r="J6" s="2"/>
      <c r="K6" s="2"/>
      <c r="L6" s="2"/>
      <c r="M6" s="2"/>
      <c r="N6" s="2"/>
      <c r="O6" s="2"/>
      <c r="P6" s="2"/>
      <c r="Q6" s="2"/>
      <c r="R6" s="2"/>
      <c r="S6" s="2"/>
      <c r="T6" s="2"/>
      <c r="U6" s="2"/>
    </row>
    <row r="7" spans="1:21" ht="15.75" thickBot="1">
      <c r="B7" s="3"/>
      <c r="C7" s="3"/>
      <c r="D7" s="3"/>
      <c r="E7" s="3"/>
      <c r="F7" s="3"/>
      <c r="G7" s="3"/>
      <c r="H7" s="3"/>
      <c r="I7" s="3"/>
      <c r="J7" s="3"/>
      <c r="K7" s="3"/>
      <c r="L7" s="3"/>
      <c r="M7" s="3"/>
      <c r="N7" s="3"/>
      <c r="O7" s="3"/>
      <c r="P7" s="3"/>
      <c r="Q7" s="3"/>
      <c r="R7" s="3"/>
      <c r="S7" s="3"/>
      <c r="T7" s="3"/>
      <c r="U7" s="3"/>
    </row>
    <row r="8" spans="1:21">
      <c r="B8" s="385" t="s">
        <v>1</v>
      </c>
      <c r="C8" s="386"/>
      <c r="D8" s="386"/>
      <c r="E8" s="386"/>
      <c r="F8" s="387"/>
      <c r="G8" s="509"/>
      <c r="H8" s="510"/>
      <c r="I8" s="510"/>
      <c r="J8" s="510"/>
      <c r="K8" s="510"/>
      <c r="L8" s="510"/>
      <c r="M8" s="510"/>
      <c r="N8" s="510"/>
      <c r="O8" s="510"/>
      <c r="P8" s="510"/>
      <c r="Q8" s="510"/>
      <c r="R8" s="510"/>
      <c r="S8" s="510"/>
      <c r="T8" s="510"/>
      <c r="U8" s="511"/>
    </row>
    <row r="9" spans="1:21">
      <c r="A9" s="4"/>
      <c r="B9" s="431" t="s">
        <v>2</v>
      </c>
      <c r="C9" s="432"/>
      <c r="D9" s="432"/>
      <c r="E9" s="432"/>
      <c r="F9" s="433"/>
      <c r="G9" s="518"/>
      <c r="H9" s="519"/>
      <c r="I9" s="519"/>
      <c r="J9" s="519"/>
      <c r="K9" s="519"/>
      <c r="L9" s="519"/>
      <c r="M9" s="519"/>
      <c r="N9" s="519"/>
      <c r="O9" s="519"/>
      <c r="P9" s="519"/>
      <c r="Q9" s="519"/>
      <c r="R9" s="519"/>
      <c r="S9" s="519"/>
      <c r="T9" s="519"/>
      <c r="U9" s="520"/>
    </row>
    <row r="10" spans="1:21">
      <c r="A10" s="4"/>
      <c r="B10" s="385" t="s">
        <v>3</v>
      </c>
      <c r="C10" s="386"/>
      <c r="D10" s="386"/>
      <c r="E10" s="386"/>
      <c r="F10" s="387"/>
      <c r="G10" s="515"/>
      <c r="H10" s="516"/>
      <c r="I10" s="516"/>
      <c r="J10" s="516"/>
      <c r="K10" s="516"/>
      <c r="L10" s="516"/>
      <c r="M10" s="516"/>
      <c r="N10" s="516"/>
      <c r="O10" s="516"/>
      <c r="P10" s="516"/>
      <c r="Q10" s="516"/>
      <c r="R10" s="516"/>
      <c r="S10" s="516"/>
      <c r="T10" s="516"/>
      <c r="U10" s="517"/>
    </row>
    <row r="11" spans="1:21">
      <c r="A11" s="4"/>
      <c r="B11" s="385" t="s">
        <v>4</v>
      </c>
      <c r="C11" s="386"/>
      <c r="D11" s="386"/>
      <c r="E11" s="386"/>
      <c r="F11" s="387"/>
      <c r="G11" s="515"/>
      <c r="H11" s="516"/>
      <c r="I11" s="516"/>
      <c r="J11" s="516"/>
      <c r="K11" s="516"/>
      <c r="L11" s="516"/>
      <c r="M11" s="516"/>
      <c r="N11" s="516"/>
      <c r="O11" s="516"/>
      <c r="P11" s="516"/>
      <c r="Q11" s="516"/>
      <c r="R11" s="516"/>
      <c r="S11" s="516"/>
      <c r="T11" s="516"/>
      <c r="U11" s="517"/>
    </row>
    <row r="12" spans="1:21">
      <c r="A12" s="4"/>
      <c r="B12" s="385" t="s">
        <v>5</v>
      </c>
      <c r="C12" s="386"/>
      <c r="D12" s="386"/>
      <c r="E12" s="386"/>
      <c r="F12" s="387"/>
      <c r="G12" s="410" t="s">
        <v>6</v>
      </c>
      <c r="H12" s="411"/>
      <c r="I12" s="412"/>
      <c r="J12" s="413"/>
      <c r="K12" s="413"/>
      <c r="L12" s="414"/>
      <c r="M12" s="5" t="s">
        <v>7</v>
      </c>
      <c r="N12" s="412"/>
      <c r="O12" s="413"/>
      <c r="P12" s="413"/>
      <c r="Q12" s="414"/>
      <c r="R12" s="415" t="s">
        <v>8</v>
      </c>
      <c r="S12" s="416"/>
      <c r="T12" s="412"/>
      <c r="U12" s="417"/>
    </row>
    <row r="13" spans="1:21">
      <c r="A13" s="4"/>
      <c r="B13" s="385" t="s">
        <v>9</v>
      </c>
      <c r="C13" s="386"/>
      <c r="D13" s="386"/>
      <c r="E13" s="386"/>
      <c r="F13" s="387"/>
      <c r="G13" s="418" t="s">
        <v>6</v>
      </c>
      <c r="H13" s="419"/>
      <c r="I13" s="412"/>
      <c r="J13" s="413"/>
      <c r="K13" s="413"/>
      <c r="L13" s="414"/>
      <c r="M13" s="5" t="s">
        <v>7</v>
      </c>
      <c r="N13" s="420"/>
      <c r="O13" s="421"/>
      <c r="P13" s="421"/>
      <c r="Q13" s="422"/>
      <c r="R13" s="423"/>
      <c r="S13" s="424"/>
      <c r="T13" s="424"/>
      <c r="U13" s="425"/>
    </row>
    <row r="14" spans="1:21" ht="15.75" thickBot="1">
      <c r="A14" s="4"/>
      <c r="B14" s="385" t="s">
        <v>10</v>
      </c>
      <c r="C14" s="386"/>
      <c r="D14" s="386"/>
      <c r="E14" s="386"/>
      <c r="F14" s="387"/>
      <c r="G14" s="512"/>
      <c r="H14" s="513"/>
      <c r="I14" s="513"/>
      <c r="J14" s="513"/>
      <c r="K14" s="513"/>
      <c r="L14" s="513"/>
      <c r="M14" s="513"/>
      <c r="N14" s="513"/>
      <c r="O14" s="513"/>
      <c r="P14" s="513"/>
      <c r="Q14" s="513"/>
      <c r="R14" s="513"/>
      <c r="S14" s="513"/>
      <c r="T14" s="513"/>
      <c r="U14" s="514"/>
    </row>
    <row r="15" spans="1:21" ht="15.75" thickBot="1">
      <c r="A15" s="4"/>
      <c r="B15" s="391" t="s">
        <v>11</v>
      </c>
      <c r="C15" s="392"/>
      <c r="D15" s="392"/>
      <c r="E15" s="392"/>
      <c r="F15" s="393"/>
      <c r="G15" s="509"/>
      <c r="H15" s="510"/>
      <c r="I15" s="510"/>
      <c r="J15" s="510"/>
      <c r="K15" s="510"/>
      <c r="L15" s="510"/>
      <c r="M15" s="510"/>
      <c r="N15" s="510"/>
      <c r="O15" s="510"/>
      <c r="P15" s="510"/>
      <c r="Q15" s="510"/>
      <c r="R15" s="510"/>
      <c r="S15" s="510"/>
      <c r="T15" s="510"/>
      <c r="U15" s="511"/>
    </row>
    <row r="16" spans="1:21" ht="15.75" thickBot="1">
      <c r="B16" s="397"/>
      <c r="C16" s="397"/>
      <c r="D16" s="397"/>
      <c r="E16" s="397"/>
      <c r="F16" s="397"/>
      <c r="G16" s="397"/>
      <c r="H16" s="397"/>
      <c r="I16" s="397"/>
      <c r="J16" s="397"/>
      <c r="K16" s="397"/>
      <c r="L16" s="397"/>
      <c r="M16" s="397"/>
      <c r="N16" s="397"/>
      <c r="O16" s="397"/>
      <c r="P16" s="397"/>
      <c r="Q16" s="397"/>
      <c r="R16" s="397"/>
      <c r="S16" s="397"/>
      <c r="T16" s="397"/>
      <c r="U16" s="397"/>
    </row>
    <row r="17" spans="1:21" ht="16.5" thickBot="1">
      <c r="A17" s="4"/>
      <c r="B17" s="307" t="s">
        <v>12</v>
      </c>
      <c r="C17" s="307"/>
      <c r="D17" s="308"/>
      <c r="E17" s="307" t="s">
        <v>13</v>
      </c>
      <c r="F17" s="308"/>
      <c r="G17" s="312" t="s">
        <v>14</v>
      </c>
      <c r="H17" s="313"/>
      <c r="I17" s="313"/>
      <c r="J17" s="313"/>
      <c r="K17" s="313"/>
      <c r="L17" s="313"/>
      <c r="M17" s="313"/>
      <c r="N17" s="313"/>
      <c r="O17" s="313"/>
      <c r="P17" s="313"/>
      <c r="Q17" s="313"/>
      <c r="R17" s="313"/>
      <c r="S17" s="313"/>
      <c r="T17" s="313"/>
      <c r="U17" s="314"/>
    </row>
    <row r="18" spans="1:21" ht="15.75" thickBot="1">
      <c r="A18" s="4"/>
      <c r="B18" s="310"/>
      <c r="C18" s="310"/>
      <c r="D18" s="311"/>
      <c r="E18" s="310"/>
      <c r="F18" s="311"/>
      <c r="G18" s="315" t="s">
        <v>15</v>
      </c>
      <c r="H18" s="316"/>
      <c r="I18" s="267" t="s">
        <v>16</v>
      </c>
      <c r="J18" s="268"/>
      <c r="K18" s="268"/>
      <c r="L18" s="268"/>
      <c r="M18" s="268"/>
      <c r="N18" s="269"/>
      <c r="O18" s="403" t="s">
        <v>17</v>
      </c>
      <c r="P18" s="404"/>
      <c r="Q18" s="404"/>
      <c r="R18" s="404"/>
      <c r="S18" s="404"/>
      <c r="T18" s="404"/>
      <c r="U18" s="405"/>
    </row>
    <row r="19" spans="1:21">
      <c r="A19" s="4"/>
      <c r="B19" s="310"/>
      <c r="C19" s="310"/>
      <c r="D19" s="311"/>
      <c r="E19" s="310"/>
      <c r="F19" s="311"/>
      <c r="G19" s="317"/>
      <c r="H19" s="318"/>
      <c r="I19" s="315" t="s">
        <v>18</v>
      </c>
      <c r="J19" s="406"/>
      <c r="K19" s="406"/>
      <c r="L19" s="315" t="s">
        <v>19</v>
      </c>
      <c r="M19" s="406"/>
      <c r="N19" s="316"/>
      <c r="O19" s="408" t="s">
        <v>18</v>
      </c>
      <c r="P19" s="409"/>
      <c r="Q19" s="409"/>
      <c r="R19" s="315" t="s">
        <v>19</v>
      </c>
      <c r="S19" s="406"/>
      <c r="T19" s="406"/>
      <c r="U19" s="326" t="s">
        <v>20</v>
      </c>
    </row>
    <row r="20" spans="1:21" ht="15.75" thickBot="1">
      <c r="A20" s="4"/>
      <c r="B20" s="399"/>
      <c r="C20" s="399"/>
      <c r="D20" s="400"/>
      <c r="E20" s="310"/>
      <c r="F20" s="311"/>
      <c r="G20" s="401"/>
      <c r="H20" s="402"/>
      <c r="I20" s="401"/>
      <c r="J20" s="407"/>
      <c r="K20" s="407"/>
      <c r="L20" s="401"/>
      <c r="M20" s="407"/>
      <c r="N20" s="402"/>
      <c r="O20" s="401"/>
      <c r="P20" s="407"/>
      <c r="Q20" s="407"/>
      <c r="R20" s="401"/>
      <c r="S20" s="407"/>
      <c r="T20" s="407"/>
      <c r="U20" s="327"/>
    </row>
    <row r="21" spans="1:21">
      <c r="A21" s="4"/>
      <c r="B21" s="500" t="s">
        <v>41</v>
      </c>
      <c r="C21" s="501"/>
      <c r="D21" s="502"/>
      <c r="E21" s="503"/>
      <c r="F21" s="504"/>
      <c r="G21" s="505"/>
      <c r="H21" s="506"/>
      <c r="I21" s="507"/>
      <c r="J21" s="508"/>
      <c r="K21" s="508"/>
      <c r="L21" s="508"/>
      <c r="M21" s="508"/>
      <c r="N21" s="508"/>
      <c r="O21" s="505"/>
      <c r="P21" s="508"/>
      <c r="Q21" s="508"/>
      <c r="R21" s="508"/>
      <c r="S21" s="508"/>
      <c r="T21" s="508"/>
      <c r="U21" s="44"/>
    </row>
    <row r="22" spans="1:21">
      <c r="A22" s="4"/>
      <c r="B22" s="328" t="s">
        <v>42</v>
      </c>
      <c r="C22" s="329"/>
      <c r="D22" s="330"/>
      <c r="E22" s="331"/>
      <c r="F22" s="332"/>
      <c r="G22" s="348"/>
      <c r="H22" s="359"/>
      <c r="I22" s="350"/>
      <c r="J22" s="351"/>
      <c r="K22" s="349"/>
      <c r="L22" s="353"/>
      <c r="M22" s="351"/>
      <c r="N22" s="351"/>
      <c r="O22" s="348"/>
      <c r="P22" s="351"/>
      <c r="Q22" s="351"/>
      <c r="R22" s="351"/>
      <c r="S22" s="351"/>
      <c r="T22" s="351"/>
      <c r="U22" s="6"/>
    </row>
    <row r="23" spans="1:21">
      <c r="A23" s="4"/>
      <c r="B23" s="328" t="s">
        <v>43</v>
      </c>
      <c r="C23" s="329"/>
      <c r="D23" s="330"/>
      <c r="E23" s="331"/>
      <c r="F23" s="332"/>
      <c r="G23" s="348"/>
      <c r="H23" s="349"/>
      <c r="I23" s="350"/>
      <c r="J23" s="351"/>
      <c r="K23" s="349"/>
      <c r="L23" s="353"/>
      <c r="M23" s="351"/>
      <c r="N23" s="351"/>
      <c r="O23" s="348"/>
      <c r="P23" s="351"/>
      <c r="Q23" s="351"/>
      <c r="R23" s="351"/>
      <c r="S23" s="351"/>
      <c r="T23" s="351"/>
      <c r="U23" s="6"/>
    </row>
    <row r="24" spans="1:21">
      <c r="A24" s="4"/>
      <c r="B24" s="497" t="s">
        <v>44</v>
      </c>
      <c r="C24" s="498"/>
      <c r="D24" s="499"/>
      <c r="E24" s="357"/>
      <c r="F24" s="358"/>
      <c r="G24" s="348"/>
      <c r="H24" s="349"/>
      <c r="I24" s="350"/>
      <c r="J24" s="351"/>
      <c r="K24" s="349"/>
      <c r="L24" s="353"/>
      <c r="M24" s="351"/>
      <c r="N24" s="351"/>
      <c r="O24" s="348"/>
      <c r="P24" s="351"/>
      <c r="Q24" s="351"/>
      <c r="R24" s="351"/>
      <c r="S24" s="351"/>
      <c r="T24" s="351"/>
      <c r="U24" s="6"/>
    </row>
    <row r="25" spans="1:21">
      <c r="A25" s="4"/>
      <c r="B25" s="328" t="s">
        <v>42</v>
      </c>
      <c r="C25" s="329"/>
      <c r="D25" s="330"/>
      <c r="E25" s="331"/>
      <c r="F25" s="332"/>
      <c r="G25" s="348"/>
      <c r="H25" s="349"/>
      <c r="I25" s="350"/>
      <c r="J25" s="351"/>
      <c r="K25" s="349"/>
      <c r="L25" s="353"/>
      <c r="M25" s="351"/>
      <c r="N25" s="351"/>
      <c r="O25" s="348"/>
      <c r="P25" s="351"/>
      <c r="Q25" s="351"/>
      <c r="R25" s="351"/>
      <c r="S25" s="351"/>
      <c r="T25" s="351"/>
      <c r="U25" s="6"/>
    </row>
    <row r="26" spans="1:21">
      <c r="A26" s="4"/>
      <c r="B26" s="328" t="s">
        <v>43</v>
      </c>
      <c r="C26" s="329"/>
      <c r="D26" s="330"/>
      <c r="E26" s="331"/>
      <c r="F26" s="332"/>
      <c r="G26" s="348"/>
      <c r="H26" s="349"/>
      <c r="I26" s="350"/>
      <c r="J26" s="351"/>
      <c r="K26" s="349"/>
      <c r="L26" s="353"/>
      <c r="M26" s="351"/>
      <c r="N26" s="351"/>
      <c r="O26" s="348"/>
      <c r="P26" s="351"/>
      <c r="Q26" s="351"/>
      <c r="R26" s="351"/>
      <c r="S26" s="351"/>
      <c r="T26" s="351"/>
      <c r="U26" s="6"/>
    </row>
    <row r="27" spans="1:21">
      <c r="A27" s="4"/>
      <c r="B27" s="497" t="s">
        <v>45</v>
      </c>
      <c r="C27" s="498"/>
      <c r="D27" s="499"/>
      <c r="E27" s="357"/>
      <c r="F27" s="358"/>
      <c r="G27" s="348"/>
      <c r="H27" s="349"/>
      <c r="I27" s="350"/>
      <c r="J27" s="351"/>
      <c r="K27" s="349"/>
      <c r="L27" s="353"/>
      <c r="M27" s="351"/>
      <c r="N27" s="351"/>
      <c r="O27" s="348"/>
      <c r="P27" s="351"/>
      <c r="Q27" s="351"/>
      <c r="R27" s="351"/>
      <c r="S27" s="351"/>
      <c r="T27" s="351"/>
      <c r="U27" s="6"/>
    </row>
    <row r="28" spans="1:21">
      <c r="A28" s="4"/>
      <c r="B28" s="328" t="s">
        <v>42</v>
      </c>
      <c r="C28" s="329"/>
      <c r="D28" s="330"/>
      <c r="E28" s="331"/>
      <c r="F28" s="332"/>
      <c r="G28" s="348"/>
      <c r="H28" s="349"/>
      <c r="I28" s="350"/>
      <c r="J28" s="351"/>
      <c r="K28" s="349"/>
      <c r="L28" s="353"/>
      <c r="M28" s="351"/>
      <c r="N28" s="351"/>
      <c r="O28" s="348"/>
      <c r="P28" s="351"/>
      <c r="Q28" s="351"/>
      <c r="R28" s="351"/>
      <c r="S28" s="351"/>
      <c r="T28" s="351"/>
      <c r="U28" s="6"/>
    </row>
    <row r="29" spans="1:21" ht="15.75" thickBot="1">
      <c r="A29" s="4"/>
      <c r="B29" s="328" t="s">
        <v>43</v>
      </c>
      <c r="C29" s="329"/>
      <c r="D29" s="330"/>
      <c r="E29" s="331"/>
      <c r="F29" s="332"/>
      <c r="G29" s="348"/>
      <c r="H29" s="349"/>
      <c r="I29" s="350"/>
      <c r="J29" s="351"/>
      <c r="K29" s="349"/>
      <c r="L29" s="353"/>
      <c r="M29" s="351"/>
      <c r="N29" s="351"/>
      <c r="O29" s="348"/>
      <c r="P29" s="351"/>
      <c r="Q29" s="351"/>
      <c r="R29" s="351"/>
      <c r="S29" s="351"/>
      <c r="T29" s="351"/>
      <c r="U29" s="6"/>
    </row>
    <row r="30" spans="1:21" ht="15.75" thickBot="1">
      <c r="A30" s="4"/>
      <c r="B30" s="343" t="s">
        <v>21</v>
      </c>
      <c r="C30" s="496"/>
      <c r="D30" s="496"/>
      <c r="E30" s="496"/>
      <c r="F30" s="496"/>
      <c r="G30" s="345"/>
      <c r="H30" s="346"/>
      <c r="I30" s="346"/>
      <c r="J30" s="346"/>
      <c r="K30" s="346"/>
      <c r="L30" s="346"/>
      <c r="M30" s="346"/>
      <c r="N30" s="347"/>
      <c r="O30" s="345"/>
      <c r="P30" s="346"/>
      <c r="Q30" s="346"/>
      <c r="R30" s="346"/>
      <c r="S30" s="346"/>
      <c r="T30" s="346"/>
      <c r="U30" s="347"/>
    </row>
    <row r="31" spans="1:21" ht="15.75" thickBot="1">
      <c r="B31" s="7"/>
      <c r="C31" s="8"/>
      <c r="D31" s="9"/>
      <c r="E31" s="10"/>
      <c r="F31" s="11"/>
      <c r="G31" s="12"/>
      <c r="H31" s="13"/>
      <c r="I31" s="14"/>
      <c r="J31" s="14"/>
      <c r="K31" s="15"/>
      <c r="L31" s="14"/>
      <c r="M31" s="15"/>
      <c r="N31" s="14"/>
      <c r="O31" s="14"/>
      <c r="P31" s="14"/>
      <c r="Q31" s="14"/>
      <c r="R31" s="15"/>
      <c r="S31" s="14"/>
      <c r="T31" s="12"/>
      <c r="U31" s="14"/>
    </row>
    <row r="32" spans="1:21" ht="16.5" thickBot="1">
      <c r="A32" s="4"/>
      <c r="B32" s="306" t="s">
        <v>22</v>
      </c>
      <c r="C32" s="307"/>
      <c r="D32" s="307"/>
      <c r="E32" s="307"/>
      <c r="F32" s="308"/>
      <c r="G32" s="312" t="s">
        <v>23</v>
      </c>
      <c r="H32" s="313"/>
      <c r="I32" s="313"/>
      <c r="J32" s="313"/>
      <c r="K32" s="313"/>
      <c r="L32" s="313"/>
      <c r="M32" s="313"/>
      <c r="N32" s="313"/>
      <c r="O32" s="313"/>
      <c r="P32" s="313"/>
      <c r="Q32" s="313"/>
      <c r="R32" s="313"/>
      <c r="S32" s="313"/>
      <c r="T32" s="313"/>
      <c r="U32" s="314"/>
    </row>
    <row r="33" spans="1:21" ht="15.75" thickBot="1">
      <c r="A33" s="4"/>
      <c r="B33" s="309"/>
      <c r="C33" s="310"/>
      <c r="D33" s="310"/>
      <c r="E33" s="310"/>
      <c r="F33" s="311"/>
      <c r="G33" s="315" t="s">
        <v>24</v>
      </c>
      <c r="H33" s="316"/>
      <c r="I33" s="310" t="s">
        <v>16</v>
      </c>
      <c r="J33" s="310"/>
      <c r="K33" s="310"/>
      <c r="L33" s="310"/>
      <c r="M33" s="310"/>
      <c r="N33" s="311"/>
      <c r="O33" s="321" t="s">
        <v>17</v>
      </c>
      <c r="P33" s="322"/>
      <c r="Q33" s="322"/>
      <c r="R33" s="322"/>
      <c r="S33" s="322"/>
      <c r="T33" s="322"/>
      <c r="U33" s="323"/>
    </row>
    <row r="34" spans="1:21" ht="15.75" thickBot="1">
      <c r="A34" s="4"/>
      <c r="B34" s="309"/>
      <c r="C34" s="310"/>
      <c r="D34" s="310"/>
      <c r="E34" s="310"/>
      <c r="F34" s="311"/>
      <c r="G34" s="317"/>
      <c r="H34" s="318"/>
      <c r="I34" s="267" t="s">
        <v>18</v>
      </c>
      <c r="J34" s="268"/>
      <c r="K34" s="269"/>
      <c r="L34" s="267" t="s">
        <v>25</v>
      </c>
      <c r="M34" s="268"/>
      <c r="N34" s="269"/>
      <c r="O34" s="267" t="s">
        <v>18</v>
      </c>
      <c r="P34" s="268"/>
      <c r="Q34" s="324"/>
      <c r="R34" s="325" t="s">
        <v>25</v>
      </c>
      <c r="S34" s="268"/>
      <c r="T34" s="269"/>
      <c r="U34" s="326" t="s">
        <v>20</v>
      </c>
    </row>
    <row r="35" spans="1:21" ht="15.75" thickBot="1">
      <c r="A35" s="4"/>
      <c r="B35" s="309"/>
      <c r="C35" s="310"/>
      <c r="D35" s="310"/>
      <c r="E35" s="310"/>
      <c r="F35" s="311"/>
      <c r="G35" s="319"/>
      <c r="H35" s="320"/>
      <c r="I35" s="45" t="s">
        <v>26</v>
      </c>
      <c r="J35" s="43" t="s">
        <v>27</v>
      </c>
      <c r="K35" s="43" t="s">
        <v>28</v>
      </c>
      <c r="L35" s="45" t="s">
        <v>26</v>
      </c>
      <c r="M35" s="43" t="s">
        <v>27</v>
      </c>
      <c r="N35" s="46" t="s">
        <v>28</v>
      </c>
      <c r="O35" s="19" t="s">
        <v>26</v>
      </c>
      <c r="P35" s="45" t="s">
        <v>27</v>
      </c>
      <c r="Q35" s="20" t="s">
        <v>28</v>
      </c>
      <c r="R35" s="21" t="s">
        <v>26</v>
      </c>
      <c r="S35" s="47" t="s">
        <v>27</v>
      </c>
      <c r="T35" s="43" t="s">
        <v>28</v>
      </c>
      <c r="U35" s="327"/>
    </row>
    <row r="36" spans="1:21" ht="15.75" thickBot="1">
      <c r="A36" s="4"/>
      <c r="B36" s="302" t="s">
        <v>29</v>
      </c>
      <c r="C36" s="303"/>
      <c r="D36" s="303"/>
      <c r="E36" s="303"/>
      <c r="F36" s="303"/>
      <c r="G36" s="303"/>
      <c r="H36" s="303"/>
      <c r="I36" s="303"/>
      <c r="J36" s="303"/>
      <c r="K36" s="303"/>
      <c r="L36" s="303"/>
      <c r="M36" s="303"/>
      <c r="N36" s="303"/>
      <c r="O36" s="303"/>
      <c r="P36" s="303"/>
      <c r="Q36" s="303"/>
      <c r="R36" s="303"/>
      <c r="S36" s="303"/>
      <c r="T36" s="303"/>
      <c r="U36" s="304"/>
    </row>
    <row r="37" spans="1:21" ht="15.75" thickBot="1">
      <c r="A37" s="23"/>
      <c r="B37" s="493" t="s">
        <v>41</v>
      </c>
      <c r="C37" s="494"/>
      <c r="D37" s="494"/>
      <c r="E37" s="494"/>
      <c r="F37" s="494"/>
      <c r="G37" s="495"/>
      <c r="H37" s="495"/>
      <c r="I37" s="48"/>
      <c r="J37" s="48"/>
      <c r="K37" s="48"/>
      <c r="L37" s="48"/>
      <c r="M37" s="48"/>
      <c r="N37" s="48"/>
      <c r="O37" s="48"/>
      <c r="P37" s="48"/>
      <c r="Q37" s="24"/>
      <c r="R37" s="48"/>
      <c r="S37" s="48"/>
      <c r="T37" s="24"/>
      <c r="U37" s="25"/>
    </row>
    <row r="38" spans="1:21">
      <c r="A38" s="23"/>
      <c r="B38" s="469"/>
      <c r="C38" s="297"/>
      <c r="D38" s="297"/>
      <c r="E38" s="297"/>
      <c r="F38" s="470"/>
      <c r="G38" s="463"/>
      <c r="H38" s="464"/>
      <c r="I38" s="26"/>
      <c r="J38" s="26"/>
      <c r="K38" s="26"/>
      <c r="L38" s="26"/>
      <c r="M38" s="26"/>
      <c r="N38" s="26"/>
      <c r="O38" s="26"/>
      <c r="P38" s="26"/>
      <c r="Q38" s="26"/>
      <c r="R38" s="26"/>
      <c r="S38" s="26"/>
      <c r="T38" s="26"/>
      <c r="U38" s="27"/>
    </row>
    <row r="39" spans="1:21">
      <c r="A39" s="23"/>
      <c r="B39" s="469"/>
      <c r="C39" s="297"/>
      <c r="D39" s="297"/>
      <c r="E39" s="297"/>
      <c r="F39" s="470"/>
      <c r="G39" s="463"/>
      <c r="H39" s="464"/>
      <c r="I39" s="26"/>
      <c r="J39" s="26"/>
      <c r="K39" s="26"/>
      <c r="L39" s="26"/>
      <c r="M39" s="26"/>
      <c r="N39" s="26"/>
      <c r="O39" s="26"/>
      <c r="P39" s="26"/>
      <c r="Q39" s="26"/>
      <c r="R39" s="26"/>
      <c r="S39" s="26"/>
      <c r="T39" s="26"/>
      <c r="U39" s="27"/>
    </row>
    <row r="40" spans="1:21">
      <c r="A40" s="23"/>
      <c r="B40" s="469"/>
      <c r="C40" s="297"/>
      <c r="D40" s="297"/>
      <c r="E40" s="297"/>
      <c r="F40" s="470"/>
      <c r="G40" s="463"/>
      <c r="H40" s="464"/>
      <c r="I40" s="26"/>
      <c r="J40" s="26"/>
      <c r="K40" s="26"/>
      <c r="L40" s="26"/>
      <c r="M40" s="26"/>
      <c r="N40" s="26"/>
      <c r="O40" s="26"/>
      <c r="P40" s="26"/>
      <c r="Q40" s="26"/>
      <c r="R40" s="26"/>
      <c r="S40" s="26"/>
      <c r="T40" s="26"/>
      <c r="U40" s="27"/>
    </row>
    <row r="41" spans="1:21" ht="15.75" thickBot="1">
      <c r="A41" s="23"/>
      <c r="B41" s="469"/>
      <c r="C41" s="297"/>
      <c r="D41" s="297"/>
      <c r="E41" s="297"/>
      <c r="F41" s="470"/>
      <c r="G41" s="463"/>
      <c r="H41" s="464"/>
      <c r="I41" s="26"/>
      <c r="J41" s="26"/>
      <c r="K41" s="26"/>
      <c r="L41" s="26"/>
      <c r="M41" s="26"/>
      <c r="N41" s="26"/>
      <c r="O41" s="26"/>
      <c r="P41" s="26"/>
      <c r="Q41" s="26"/>
      <c r="R41" s="26"/>
      <c r="S41" s="26"/>
      <c r="T41" s="26"/>
      <c r="U41" s="27"/>
    </row>
    <row r="42" spans="1:21" ht="15.75" thickBot="1">
      <c r="A42" s="23"/>
      <c r="B42" s="493" t="s">
        <v>44</v>
      </c>
      <c r="C42" s="494"/>
      <c r="D42" s="494"/>
      <c r="E42" s="494"/>
      <c r="F42" s="494"/>
      <c r="G42" s="495"/>
      <c r="H42" s="495"/>
      <c r="I42" s="48"/>
      <c r="J42" s="48"/>
      <c r="K42" s="48"/>
      <c r="L42" s="48"/>
      <c r="M42" s="48"/>
      <c r="N42" s="48"/>
      <c r="O42" s="48"/>
      <c r="P42" s="48"/>
      <c r="Q42" s="48"/>
      <c r="R42" s="48"/>
      <c r="S42" s="48"/>
      <c r="T42" s="24"/>
      <c r="U42" s="25"/>
    </row>
    <row r="43" spans="1:21">
      <c r="A43" s="23"/>
      <c r="B43" s="469"/>
      <c r="C43" s="297"/>
      <c r="D43" s="297"/>
      <c r="E43" s="297"/>
      <c r="F43" s="470"/>
      <c r="G43" s="463"/>
      <c r="H43" s="464"/>
      <c r="I43" s="26"/>
      <c r="J43" s="26"/>
      <c r="K43" s="26"/>
      <c r="L43" s="26"/>
      <c r="M43" s="26"/>
      <c r="N43" s="26"/>
      <c r="O43" s="26"/>
      <c r="P43" s="26"/>
      <c r="Q43" s="26"/>
      <c r="R43" s="26"/>
      <c r="S43" s="26"/>
      <c r="T43" s="26"/>
      <c r="U43" s="27"/>
    </row>
    <row r="44" spans="1:21">
      <c r="A44" s="23"/>
      <c r="B44" s="469"/>
      <c r="C44" s="297"/>
      <c r="D44" s="297"/>
      <c r="E44" s="297"/>
      <c r="F44" s="470"/>
      <c r="G44" s="463"/>
      <c r="H44" s="464"/>
      <c r="I44" s="26"/>
      <c r="J44" s="26"/>
      <c r="K44" s="26"/>
      <c r="L44" s="26"/>
      <c r="M44" s="26"/>
      <c r="N44" s="26"/>
      <c r="O44" s="26"/>
      <c r="P44" s="26"/>
      <c r="Q44" s="26"/>
      <c r="R44" s="26"/>
      <c r="S44" s="26"/>
      <c r="T44" s="26"/>
      <c r="U44" s="27"/>
    </row>
    <row r="45" spans="1:21">
      <c r="A45" s="23"/>
      <c r="B45" s="469"/>
      <c r="C45" s="297"/>
      <c r="D45" s="297"/>
      <c r="E45" s="297"/>
      <c r="F45" s="470"/>
      <c r="G45" s="463"/>
      <c r="H45" s="464"/>
      <c r="I45" s="26"/>
      <c r="J45" s="26"/>
      <c r="K45" s="26"/>
      <c r="L45" s="26"/>
      <c r="M45" s="26"/>
      <c r="N45" s="26"/>
      <c r="O45" s="26"/>
      <c r="P45" s="26"/>
      <c r="Q45" s="26"/>
      <c r="R45" s="26"/>
      <c r="S45" s="26"/>
      <c r="T45" s="26"/>
      <c r="U45" s="27"/>
    </row>
    <row r="46" spans="1:21" ht="15.75" thickBot="1">
      <c r="A46" s="23"/>
      <c r="B46" s="469"/>
      <c r="C46" s="297"/>
      <c r="D46" s="297"/>
      <c r="E46" s="297"/>
      <c r="F46" s="470"/>
      <c r="G46" s="463"/>
      <c r="H46" s="464"/>
      <c r="I46" s="26"/>
      <c r="J46" s="26"/>
      <c r="K46" s="26"/>
      <c r="L46" s="26"/>
      <c r="M46" s="26"/>
      <c r="N46" s="26"/>
      <c r="O46" s="26"/>
      <c r="P46" s="26"/>
      <c r="Q46" s="26"/>
      <c r="R46" s="26"/>
      <c r="S46" s="26"/>
      <c r="T46" s="26"/>
      <c r="U46" s="27"/>
    </row>
    <row r="47" spans="1:21" ht="15.75" thickBot="1">
      <c r="A47" s="23"/>
      <c r="B47" s="493" t="s">
        <v>45</v>
      </c>
      <c r="C47" s="494"/>
      <c r="D47" s="494"/>
      <c r="E47" s="494"/>
      <c r="F47" s="494"/>
      <c r="G47" s="495"/>
      <c r="H47" s="495"/>
      <c r="I47" s="48"/>
      <c r="J47" s="48"/>
      <c r="K47" s="48"/>
      <c r="L47" s="48"/>
      <c r="M47" s="48"/>
      <c r="N47" s="48"/>
      <c r="O47" s="48"/>
      <c r="P47" s="48"/>
      <c r="Q47" s="48"/>
      <c r="R47" s="48"/>
      <c r="S47" s="48"/>
      <c r="T47" s="24"/>
      <c r="U47" s="25"/>
    </row>
    <row r="48" spans="1:21">
      <c r="A48" s="23"/>
      <c r="B48" s="469"/>
      <c r="C48" s="297"/>
      <c r="D48" s="297"/>
      <c r="E48" s="297"/>
      <c r="F48" s="470"/>
      <c r="G48" s="463"/>
      <c r="H48" s="464"/>
      <c r="I48" s="26"/>
      <c r="J48" s="26"/>
      <c r="K48" s="26"/>
      <c r="L48" s="26"/>
      <c r="M48" s="26"/>
      <c r="N48" s="26"/>
      <c r="O48" s="26"/>
      <c r="P48" s="26"/>
      <c r="Q48" s="26"/>
      <c r="R48" s="26"/>
      <c r="S48" s="26"/>
      <c r="T48" s="26"/>
      <c r="U48" s="28"/>
    </row>
    <row r="49" spans="1:21">
      <c r="A49" s="23"/>
      <c r="B49" s="469"/>
      <c r="C49" s="297"/>
      <c r="D49" s="297"/>
      <c r="E49" s="297"/>
      <c r="F49" s="470"/>
      <c r="G49" s="463"/>
      <c r="H49" s="464"/>
      <c r="I49" s="26"/>
      <c r="J49" s="26"/>
      <c r="K49" s="26"/>
      <c r="L49" s="26"/>
      <c r="M49" s="26"/>
      <c r="N49" s="26"/>
      <c r="O49" s="26"/>
      <c r="P49" s="26"/>
      <c r="Q49" s="26"/>
      <c r="R49" s="26"/>
      <c r="S49" s="26"/>
      <c r="T49" s="26"/>
      <c r="U49" s="27"/>
    </row>
    <row r="50" spans="1:21">
      <c r="A50" s="23"/>
      <c r="B50" s="469"/>
      <c r="C50" s="297"/>
      <c r="D50" s="297"/>
      <c r="E50" s="297"/>
      <c r="F50" s="470"/>
      <c r="G50" s="463"/>
      <c r="H50" s="464"/>
      <c r="I50" s="26"/>
      <c r="J50" s="26"/>
      <c r="K50" s="26"/>
      <c r="L50" s="26"/>
      <c r="M50" s="26"/>
      <c r="N50" s="26"/>
      <c r="O50" s="26"/>
      <c r="P50" s="26"/>
      <c r="Q50" s="26"/>
      <c r="R50" s="26"/>
      <c r="S50" s="26"/>
      <c r="T50" s="26"/>
      <c r="U50" s="27"/>
    </row>
    <row r="51" spans="1:21" ht="15.75" thickBot="1">
      <c r="A51" s="23"/>
      <c r="B51" s="469"/>
      <c r="C51" s="297"/>
      <c r="D51" s="297"/>
      <c r="E51" s="297"/>
      <c r="F51" s="470"/>
      <c r="G51" s="463"/>
      <c r="H51" s="464"/>
      <c r="I51" s="26"/>
      <c r="J51" s="26"/>
      <c r="K51" s="26"/>
      <c r="L51" s="26"/>
      <c r="M51" s="26"/>
      <c r="N51" s="26"/>
      <c r="O51" s="26"/>
      <c r="P51" s="26"/>
      <c r="Q51" s="26"/>
      <c r="R51" s="26"/>
      <c r="S51" s="26"/>
      <c r="T51" s="26"/>
      <c r="U51" s="27"/>
    </row>
    <row r="52" spans="1:21" ht="15.75" thickBot="1">
      <c r="A52" s="23"/>
      <c r="B52" s="284" t="s">
        <v>30</v>
      </c>
      <c r="C52" s="285"/>
      <c r="D52" s="285"/>
      <c r="E52" s="285"/>
      <c r="F52" s="285"/>
      <c r="G52" s="285"/>
      <c r="H52" s="285"/>
      <c r="I52" s="285"/>
      <c r="J52" s="285"/>
      <c r="K52" s="285"/>
      <c r="L52" s="285"/>
      <c r="M52" s="285"/>
      <c r="N52" s="285"/>
      <c r="O52" s="285"/>
      <c r="P52" s="285"/>
      <c r="Q52" s="285"/>
      <c r="R52" s="285"/>
      <c r="S52" s="285"/>
      <c r="T52" s="285"/>
      <c r="U52" s="286"/>
    </row>
    <row r="53" spans="1:21">
      <c r="A53" s="23"/>
      <c r="B53" s="469"/>
      <c r="C53" s="297"/>
      <c r="D53" s="297"/>
      <c r="E53" s="297"/>
      <c r="F53" s="470"/>
      <c r="G53" s="463"/>
      <c r="H53" s="464"/>
      <c r="I53" s="26"/>
      <c r="J53" s="26"/>
      <c r="K53" s="26"/>
      <c r="L53" s="26"/>
      <c r="M53" s="26"/>
      <c r="N53" s="26"/>
      <c r="O53" s="26"/>
      <c r="P53" s="26"/>
      <c r="Q53" s="26"/>
      <c r="R53" s="26"/>
      <c r="S53" s="26"/>
      <c r="T53" s="26"/>
      <c r="U53" s="28"/>
    </row>
    <row r="54" spans="1:21">
      <c r="A54" s="23"/>
      <c r="B54" s="469"/>
      <c r="C54" s="297"/>
      <c r="D54" s="297"/>
      <c r="E54" s="297"/>
      <c r="F54" s="470"/>
      <c r="G54" s="463"/>
      <c r="H54" s="464"/>
      <c r="I54" s="26"/>
      <c r="J54" s="26"/>
      <c r="K54" s="26"/>
      <c r="L54" s="26"/>
      <c r="M54" s="26"/>
      <c r="N54" s="26"/>
      <c r="O54" s="26"/>
      <c r="P54" s="26"/>
      <c r="Q54" s="26"/>
      <c r="R54" s="26"/>
      <c r="S54" s="26"/>
      <c r="T54" s="26"/>
      <c r="U54" s="27"/>
    </row>
    <row r="55" spans="1:21">
      <c r="A55" s="23"/>
      <c r="B55" s="469"/>
      <c r="C55" s="297"/>
      <c r="D55" s="297"/>
      <c r="E55" s="297"/>
      <c r="F55" s="470"/>
      <c r="G55" s="463"/>
      <c r="H55" s="464"/>
      <c r="I55" s="26"/>
      <c r="J55" s="26"/>
      <c r="K55" s="26"/>
      <c r="L55" s="26"/>
      <c r="M55" s="26"/>
      <c r="N55" s="26"/>
      <c r="O55" s="26"/>
      <c r="P55" s="26"/>
      <c r="Q55" s="26"/>
      <c r="R55" s="26"/>
      <c r="S55" s="26"/>
      <c r="T55" s="26"/>
      <c r="U55" s="27"/>
    </row>
    <row r="56" spans="1:21" ht="15.75" thickBot="1">
      <c r="A56" s="23"/>
      <c r="B56" s="469"/>
      <c r="C56" s="297"/>
      <c r="D56" s="297"/>
      <c r="E56" s="297"/>
      <c r="F56" s="470"/>
      <c r="G56" s="463"/>
      <c r="H56" s="464"/>
      <c r="I56" s="26"/>
      <c r="J56" s="26"/>
      <c r="K56" s="26"/>
      <c r="L56" s="26"/>
      <c r="M56" s="26"/>
      <c r="N56" s="26"/>
      <c r="O56" s="26"/>
      <c r="P56" s="26"/>
      <c r="Q56" s="26"/>
      <c r="R56" s="26"/>
      <c r="S56" s="26"/>
      <c r="T56" s="26"/>
      <c r="U56" s="27"/>
    </row>
    <row r="57" spans="1:21" ht="15.75" thickBot="1">
      <c r="A57" s="23"/>
      <c r="B57" s="257" t="s">
        <v>21</v>
      </c>
      <c r="C57" s="258"/>
      <c r="D57" s="258"/>
      <c r="E57" s="258"/>
      <c r="F57" s="259"/>
      <c r="G57" s="260"/>
      <c r="H57" s="261"/>
      <c r="I57" s="29"/>
      <c r="J57" s="29"/>
      <c r="K57" s="29"/>
      <c r="L57" s="29"/>
      <c r="M57" s="29"/>
      <c r="N57" s="29"/>
      <c r="O57" s="29"/>
      <c r="P57" s="29"/>
      <c r="Q57" s="29"/>
      <c r="R57" s="29"/>
      <c r="S57" s="29"/>
      <c r="T57" s="30"/>
      <c r="U57" s="31"/>
    </row>
    <row r="58" spans="1:21" ht="15.75" thickBot="1">
      <c r="C58" s="32"/>
      <c r="I58" s="33"/>
      <c r="L58" s="33"/>
      <c r="N58" s="33"/>
      <c r="U58" s="33"/>
    </row>
    <row r="59" spans="1:21" ht="15.75" thickBot="1">
      <c r="B59" s="262" t="s">
        <v>31</v>
      </c>
      <c r="C59" s="263"/>
      <c r="D59" s="263"/>
      <c r="E59" s="263"/>
      <c r="F59" s="263"/>
      <c r="G59" s="263"/>
      <c r="H59" s="263"/>
      <c r="I59" s="263"/>
      <c r="J59" s="263"/>
      <c r="K59" s="263"/>
      <c r="L59" s="263"/>
      <c r="M59" s="263"/>
      <c r="N59" s="263"/>
      <c r="O59" s="263"/>
      <c r="P59" s="263"/>
      <c r="Q59" s="263"/>
      <c r="R59" s="263"/>
      <c r="S59" s="263"/>
      <c r="T59" s="263"/>
      <c r="U59" s="263"/>
    </row>
    <row r="60" spans="1:21" ht="15.75" thickBot="1">
      <c r="B60" s="264"/>
      <c r="C60" s="265"/>
      <c r="D60" s="267" t="s">
        <v>15</v>
      </c>
      <c r="E60" s="268"/>
      <c r="F60" s="268"/>
      <c r="G60" s="268"/>
      <c r="H60" s="268"/>
      <c r="I60" s="269"/>
      <c r="J60" s="267" t="s">
        <v>32</v>
      </c>
      <c r="K60" s="268"/>
      <c r="L60" s="268"/>
      <c r="M60" s="268"/>
      <c r="N60" s="268"/>
      <c r="O60" s="269"/>
      <c r="P60" s="267" t="s">
        <v>17</v>
      </c>
      <c r="Q60" s="268"/>
      <c r="R60" s="268"/>
      <c r="S60" s="268"/>
      <c r="T60" s="268"/>
      <c r="U60" s="35"/>
    </row>
    <row r="61" spans="1:21" ht="15.75" thickBot="1">
      <c r="B61" s="219"/>
      <c r="C61" s="266"/>
      <c r="D61" s="270" t="s">
        <v>26</v>
      </c>
      <c r="E61" s="271"/>
      <c r="F61" s="272" t="s">
        <v>27</v>
      </c>
      <c r="G61" s="273"/>
      <c r="H61" s="268" t="s">
        <v>28</v>
      </c>
      <c r="I61" s="269"/>
      <c r="J61" s="272" t="s">
        <v>26</v>
      </c>
      <c r="K61" s="273"/>
      <c r="L61" s="272" t="s">
        <v>27</v>
      </c>
      <c r="M61" s="273"/>
      <c r="N61" s="268" t="s">
        <v>28</v>
      </c>
      <c r="O61" s="269"/>
      <c r="P61" s="272" t="s">
        <v>26</v>
      </c>
      <c r="Q61" s="273"/>
      <c r="R61" s="272" t="s">
        <v>27</v>
      </c>
      <c r="S61" s="273"/>
      <c r="T61" s="268" t="s">
        <v>28</v>
      </c>
      <c r="U61" s="269"/>
    </row>
    <row r="62" spans="1:21">
      <c r="A62" s="23"/>
      <c r="B62" s="250" t="s">
        <v>33</v>
      </c>
      <c r="C62" s="251"/>
      <c r="D62" s="252"/>
      <c r="E62" s="253"/>
      <c r="F62" s="252"/>
      <c r="G62" s="253"/>
      <c r="H62" s="252"/>
      <c r="I62" s="253"/>
      <c r="J62" s="254"/>
      <c r="K62" s="255"/>
      <c r="L62" s="240"/>
      <c r="M62" s="253"/>
      <c r="N62" s="240"/>
      <c r="O62" s="256"/>
      <c r="P62" s="254"/>
      <c r="Q62" s="255"/>
      <c r="R62" s="240"/>
      <c r="S62" s="253"/>
      <c r="T62" s="240"/>
      <c r="U62" s="241"/>
    </row>
    <row r="63" spans="1:21" ht="26.25" customHeight="1" thickBot="1">
      <c r="A63" s="4"/>
      <c r="B63" s="242" t="s">
        <v>34</v>
      </c>
      <c r="C63" s="243"/>
      <c r="D63" s="244"/>
      <c r="E63" s="245"/>
      <c r="F63" s="244"/>
      <c r="G63" s="245"/>
      <c r="H63" s="244"/>
      <c r="I63" s="245"/>
      <c r="J63" s="244"/>
      <c r="K63" s="245"/>
      <c r="L63" s="246"/>
      <c r="M63" s="245"/>
      <c r="N63" s="246"/>
      <c r="O63" s="247"/>
      <c r="P63" s="248"/>
      <c r="Q63" s="249"/>
      <c r="R63" s="246"/>
      <c r="S63" s="245"/>
      <c r="T63" s="246"/>
      <c r="U63" s="247"/>
    </row>
    <row r="64" spans="1:21" ht="15.75" thickBot="1">
      <c r="A64" s="23"/>
      <c r="B64" s="36" t="s">
        <v>21</v>
      </c>
      <c r="C64" s="37"/>
      <c r="D64" s="235"/>
      <c r="E64" s="236"/>
      <c r="F64" s="235"/>
      <c r="G64" s="236"/>
      <c r="H64" s="235"/>
      <c r="I64" s="236"/>
      <c r="J64" s="237"/>
      <c r="K64" s="238"/>
      <c r="L64" s="215"/>
      <c r="M64" s="238"/>
      <c r="N64" s="236"/>
      <c r="O64" s="236"/>
      <c r="P64" s="237"/>
      <c r="Q64" s="239"/>
      <c r="R64" s="215"/>
      <c r="S64" s="238"/>
      <c r="T64" s="215"/>
      <c r="U64" s="216"/>
    </row>
    <row r="65" spans="1:21">
      <c r="A65" s="23"/>
      <c r="B65" s="45"/>
      <c r="C65" s="45"/>
      <c r="D65" s="45"/>
      <c r="E65" s="45"/>
      <c r="F65" s="49"/>
      <c r="G65" s="49"/>
      <c r="H65" s="39"/>
      <c r="I65" s="39"/>
      <c r="J65" s="49"/>
      <c r="K65" s="49"/>
      <c r="L65" s="49"/>
      <c r="M65" s="39"/>
      <c r="N65" s="49"/>
      <c r="O65" s="39"/>
      <c r="P65" s="39"/>
      <c r="Q65" s="49"/>
      <c r="R65" s="23"/>
      <c r="S65" s="23"/>
      <c r="T65" s="23"/>
      <c r="U65" s="23"/>
    </row>
    <row r="66" spans="1:21" ht="15.75" thickBot="1">
      <c r="A66" s="23"/>
      <c r="B66" s="45"/>
      <c r="C66" s="45"/>
      <c r="D66" s="45"/>
      <c r="E66" s="45"/>
      <c r="F66" s="49"/>
      <c r="G66" s="49"/>
      <c r="H66" s="49"/>
      <c r="I66" s="49"/>
      <c r="J66" s="49"/>
      <c r="K66" s="49"/>
      <c r="L66" s="49"/>
      <c r="M66" s="49"/>
      <c r="N66" s="49"/>
      <c r="O66" s="49"/>
      <c r="P66" s="49"/>
      <c r="Q66" s="49"/>
      <c r="R66" s="23"/>
      <c r="S66" s="23"/>
      <c r="T66" s="23"/>
      <c r="U66" s="23"/>
    </row>
    <row r="67" spans="1:21" ht="15.75" thickBot="1">
      <c r="B67" s="217" t="s">
        <v>35</v>
      </c>
      <c r="C67" s="218"/>
      <c r="D67" s="218"/>
      <c r="E67" s="219"/>
      <c r="F67" s="205"/>
      <c r="G67" s="205"/>
      <c r="H67" s="205"/>
      <c r="I67" s="205"/>
      <c r="J67" s="205"/>
      <c r="K67" s="205"/>
      <c r="L67" s="205"/>
      <c r="M67" s="205"/>
      <c r="N67" s="205"/>
      <c r="O67" s="205"/>
      <c r="P67" s="205"/>
      <c r="Q67" s="205"/>
      <c r="R67" s="205"/>
      <c r="S67" s="205"/>
      <c r="T67" s="205"/>
      <c r="U67" s="205"/>
    </row>
    <row r="68" spans="1:21">
      <c r="B68" s="444"/>
      <c r="C68" s="445"/>
      <c r="D68" s="445"/>
      <c r="E68" s="445"/>
      <c r="F68" s="445"/>
      <c r="G68" s="445"/>
      <c r="H68" s="445"/>
      <c r="I68" s="445"/>
      <c r="J68" s="445"/>
      <c r="K68" s="445"/>
      <c r="L68" s="445"/>
      <c r="M68" s="445"/>
      <c r="N68" s="445"/>
      <c r="O68" s="445"/>
      <c r="P68" s="445"/>
      <c r="Q68" s="445"/>
      <c r="R68" s="445"/>
      <c r="S68" s="445"/>
      <c r="T68" s="445"/>
      <c r="U68" s="446"/>
    </row>
    <row r="69" spans="1:21">
      <c r="B69" s="447"/>
      <c r="C69" s="448"/>
      <c r="D69" s="448"/>
      <c r="E69" s="448"/>
      <c r="F69" s="448"/>
      <c r="G69" s="448"/>
      <c r="H69" s="448"/>
      <c r="I69" s="448"/>
      <c r="J69" s="448"/>
      <c r="K69" s="448"/>
      <c r="L69" s="448"/>
      <c r="M69" s="448"/>
      <c r="N69" s="448"/>
      <c r="O69" s="448"/>
      <c r="P69" s="448"/>
      <c r="Q69" s="448"/>
      <c r="R69" s="448"/>
      <c r="S69" s="448"/>
      <c r="T69" s="448"/>
      <c r="U69" s="449"/>
    </row>
    <row r="70" spans="1:21">
      <c r="B70" s="447"/>
      <c r="C70" s="448"/>
      <c r="D70" s="448"/>
      <c r="E70" s="448"/>
      <c r="F70" s="448"/>
      <c r="G70" s="448"/>
      <c r="H70" s="448"/>
      <c r="I70" s="448"/>
      <c r="J70" s="448"/>
      <c r="K70" s="448"/>
      <c r="L70" s="448"/>
      <c r="M70" s="448"/>
      <c r="N70" s="448"/>
      <c r="O70" s="448"/>
      <c r="P70" s="448"/>
      <c r="Q70" s="448"/>
      <c r="R70" s="448"/>
      <c r="S70" s="448"/>
      <c r="T70" s="448"/>
      <c r="U70" s="449"/>
    </row>
    <row r="71" spans="1:21">
      <c r="B71" s="447"/>
      <c r="C71" s="448"/>
      <c r="D71" s="448"/>
      <c r="E71" s="448"/>
      <c r="F71" s="448"/>
      <c r="G71" s="448"/>
      <c r="H71" s="448"/>
      <c r="I71" s="448"/>
      <c r="J71" s="448"/>
      <c r="K71" s="448"/>
      <c r="L71" s="448"/>
      <c r="M71" s="448"/>
      <c r="N71" s="448"/>
      <c r="O71" s="448"/>
      <c r="P71" s="448"/>
      <c r="Q71" s="448"/>
      <c r="R71" s="448"/>
      <c r="S71" s="448"/>
      <c r="T71" s="448"/>
      <c r="U71" s="449"/>
    </row>
    <row r="72" spans="1:21">
      <c r="B72" s="447"/>
      <c r="C72" s="448"/>
      <c r="D72" s="448"/>
      <c r="E72" s="448"/>
      <c r="F72" s="448"/>
      <c r="G72" s="448"/>
      <c r="H72" s="448"/>
      <c r="I72" s="448"/>
      <c r="J72" s="448"/>
      <c r="K72" s="448"/>
      <c r="L72" s="448"/>
      <c r="M72" s="448"/>
      <c r="N72" s="448"/>
      <c r="O72" s="448"/>
      <c r="P72" s="448"/>
      <c r="Q72" s="448"/>
      <c r="R72" s="448"/>
      <c r="S72" s="448"/>
      <c r="T72" s="448"/>
      <c r="U72" s="449"/>
    </row>
    <row r="73" spans="1:21">
      <c r="B73" s="447"/>
      <c r="C73" s="448"/>
      <c r="D73" s="448"/>
      <c r="E73" s="448"/>
      <c r="F73" s="448"/>
      <c r="G73" s="448"/>
      <c r="H73" s="448"/>
      <c r="I73" s="448"/>
      <c r="J73" s="448"/>
      <c r="K73" s="448"/>
      <c r="L73" s="448"/>
      <c r="M73" s="448"/>
      <c r="N73" s="448"/>
      <c r="O73" s="448"/>
      <c r="P73" s="448"/>
      <c r="Q73" s="448"/>
      <c r="R73" s="448"/>
      <c r="S73" s="448"/>
      <c r="T73" s="448"/>
      <c r="U73" s="449"/>
    </row>
    <row r="74" spans="1:21" ht="15.75" thickBot="1">
      <c r="B74" s="450"/>
      <c r="C74" s="451"/>
      <c r="D74" s="451"/>
      <c r="E74" s="451"/>
      <c r="F74" s="451"/>
      <c r="G74" s="451"/>
      <c r="H74" s="451"/>
      <c r="I74" s="451"/>
      <c r="J74" s="451"/>
      <c r="K74" s="451"/>
      <c r="L74" s="451"/>
      <c r="M74" s="451"/>
      <c r="N74" s="451"/>
      <c r="O74" s="451"/>
      <c r="P74" s="451"/>
      <c r="Q74" s="451"/>
      <c r="R74" s="451"/>
      <c r="S74" s="451"/>
      <c r="T74" s="451"/>
      <c r="U74" s="452"/>
    </row>
    <row r="75" spans="1:21">
      <c r="B75" s="23"/>
    </row>
    <row r="76" spans="1:21">
      <c r="H76" s="40"/>
      <c r="I76" s="40"/>
      <c r="O76" s="40"/>
      <c r="Q76" s="40"/>
    </row>
    <row r="77" spans="1:21">
      <c r="B77" s="41"/>
      <c r="C77" s="41"/>
      <c r="D77" s="41"/>
      <c r="E77" s="41"/>
      <c r="F77" s="41"/>
      <c r="I77" s="41"/>
      <c r="J77" s="213" t="s">
        <v>36</v>
      </c>
      <c r="K77" s="213"/>
      <c r="L77" s="213"/>
      <c r="M77" s="213"/>
      <c r="N77" s="213"/>
      <c r="O77" s="213"/>
      <c r="R77" s="213" t="s">
        <v>37</v>
      </c>
      <c r="S77" s="213"/>
      <c r="T77" s="213"/>
      <c r="U77" s="213"/>
    </row>
    <row r="78" spans="1:21">
      <c r="B78" s="220" t="s">
        <v>38</v>
      </c>
      <c r="C78" s="220"/>
      <c r="D78" s="220"/>
      <c r="E78" s="220"/>
      <c r="F78" s="220"/>
      <c r="G78" s="220"/>
      <c r="H78" s="42"/>
      <c r="I78" s="42"/>
      <c r="J78" s="221"/>
      <c r="K78" s="221"/>
      <c r="L78" s="221"/>
      <c r="M78" s="221"/>
      <c r="N78" s="221"/>
      <c r="O78" s="221"/>
      <c r="P78" s="42"/>
      <c r="Q78" s="42"/>
      <c r="R78" s="210" t="s">
        <v>0</v>
      </c>
      <c r="S78" s="210"/>
      <c r="T78" s="210"/>
      <c r="U78" s="210"/>
    </row>
    <row r="79" spans="1:21">
      <c r="B79" s="220"/>
      <c r="C79" s="220"/>
      <c r="D79" s="220"/>
      <c r="E79" s="220"/>
      <c r="F79" s="220"/>
      <c r="G79" s="220"/>
      <c r="H79" s="50"/>
      <c r="I79" s="50"/>
      <c r="J79" s="221"/>
      <c r="K79" s="221"/>
      <c r="L79" s="221"/>
      <c r="M79" s="221"/>
      <c r="N79" s="221"/>
      <c r="O79" s="221"/>
      <c r="P79" s="50"/>
      <c r="Q79" s="50"/>
      <c r="R79" s="210"/>
      <c r="S79" s="210"/>
      <c r="T79" s="210"/>
      <c r="U79" s="210"/>
    </row>
    <row r="80" spans="1:21">
      <c r="B80" s="220"/>
      <c r="C80" s="220"/>
      <c r="D80" s="220"/>
      <c r="E80" s="220"/>
      <c r="F80" s="220"/>
      <c r="G80" s="220"/>
      <c r="H80" s="50"/>
      <c r="I80" s="50"/>
      <c r="J80" s="221"/>
      <c r="K80" s="221"/>
      <c r="L80" s="221"/>
      <c r="M80" s="221"/>
      <c r="N80" s="221"/>
      <c r="O80" s="221"/>
      <c r="P80" s="50"/>
      <c r="Q80" s="50"/>
      <c r="R80" s="210"/>
      <c r="S80" s="210"/>
      <c r="T80" s="210"/>
      <c r="U80" s="210"/>
    </row>
    <row r="81" spans="2:21">
      <c r="B81" s="220"/>
      <c r="C81" s="220"/>
      <c r="D81" s="220"/>
      <c r="E81" s="220"/>
      <c r="F81" s="220"/>
      <c r="G81" s="220"/>
      <c r="H81" s="50"/>
      <c r="I81" s="50"/>
      <c r="J81" s="221"/>
      <c r="K81" s="221"/>
      <c r="L81" s="221"/>
      <c r="M81" s="221"/>
      <c r="N81" s="221"/>
      <c r="O81" s="221"/>
      <c r="P81" s="50"/>
      <c r="Q81" s="50"/>
      <c r="R81" s="210"/>
      <c r="S81" s="210"/>
      <c r="T81" s="210"/>
      <c r="U81" s="210"/>
    </row>
    <row r="82" spans="2:21" ht="15.75" thickBot="1">
      <c r="B82" s="223"/>
      <c r="C82" s="223"/>
      <c r="D82" s="223"/>
      <c r="E82" s="223"/>
      <c r="F82" s="223"/>
      <c r="G82" s="223"/>
      <c r="J82" s="222"/>
      <c r="K82" s="222"/>
      <c r="L82" s="222"/>
      <c r="M82" s="222"/>
      <c r="N82" s="222"/>
      <c r="O82" s="222"/>
      <c r="R82" s="205"/>
      <c r="S82" s="205"/>
      <c r="T82" s="205"/>
      <c r="U82" s="205"/>
    </row>
    <row r="83" spans="2:21">
      <c r="B83" s="210" t="s">
        <v>46</v>
      </c>
      <c r="C83" s="210"/>
      <c r="D83" s="210"/>
      <c r="E83" s="210"/>
      <c r="F83" s="210"/>
      <c r="G83" s="210"/>
      <c r="J83" s="204" t="s">
        <v>39</v>
      </c>
      <c r="K83" s="204"/>
      <c r="L83" s="204"/>
      <c r="M83" s="204"/>
      <c r="N83" s="204"/>
      <c r="O83" s="204"/>
      <c r="R83" s="221" t="s">
        <v>40</v>
      </c>
      <c r="S83" s="221"/>
      <c r="T83" s="221"/>
      <c r="U83" s="221"/>
    </row>
    <row r="86" spans="2:21">
      <c r="J86" s="213" t="s">
        <v>50</v>
      </c>
      <c r="K86" s="213"/>
      <c r="L86" s="213"/>
      <c r="M86" s="213"/>
      <c r="N86" s="213"/>
      <c r="O86" s="213"/>
    </row>
    <row r="87" spans="2:21">
      <c r="C87" s="206" t="s">
        <v>53</v>
      </c>
      <c r="D87" s="206"/>
      <c r="E87" s="206"/>
      <c r="F87" s="206"/>
      <c r="J87" s="206" t="s">
        <v>48</v>
      </c>
      <c r="K87" s="206"/>
      <c r="L87" s="206"/>
      <c r="M87" s="206"/>
      <c r="N87" s="206"/>
      <c r="O87" s="206"/>
      <c r="R87" s="206" t="s">
        <v>51</v>
      </c>
      <c r="S87" s="206"/>
      <c r="T87" s="206"/>
      <c r="U87" s="206"/>
    </row>
    <row r="88" spans="2:21">
      <c r="B88" s="204"/>
      <c r="C88" s="204"/>
      <c r="D88" s="204"/>
      <c r="E88" s="204"/>
      <c r="F88" s="204"/>
      <c r="G88" s="204"/>
      <c r="J88" s="206"/>
      <c r="K88" s="206"/>
      <c r="L88" s="206"/>
      <c r="M88" s="206"/>
      <c r="N88" s="206"/>
      <c r="O88" s="206"/>
      <c r="R88" s="204"/>
      <c r="S88" s="204"/>
      <c r="T88" s="204"/>
      <c r="U88" s="204"/>
    </row>
    <row r="89" spans="2:21">
      <c r="B89" s="204"/>
      <c r="C89" s="204"/>
      <c r="D89" s="204"/>
      <c r="E89" s="204"/>
      <c r="F89" s="204"/>
      <c r="G89" s="204"/>
      <c r="J89" s="206"/>
      <c r="K89" s="206"/>
      <c r="L89" s="206"/>
      <c r="M89" s="206"/>
      <c r="N89" s="206"/>
      <c r="O89" s="206"/>
      <c r="R89" s="204"/>
      <c r="S89" s="204"/>
      <c r="T89" s="204"/>
      <c r="U89" s="204"/>
    </row>
    <row r="90" spans="2:21">
      <c r="B90" s="204"/>
      <c r="C90" s="204"/>
      <c r="D90" s="204"/>
      <c r="E90" s="204"/>
      <c r="F90" s="204"/>
      <c r="G90" s="204"/>
      <c r="J90" s="206"/>
      <c r="K90" s="206"/>
      <c r="L90" s="206"/>
      <c r="M90" s="206"/>
      <c r="N90" s="206"/>
      <c r="O90" s="206"/>
      <c r="R90" s="204"/>
      <c r="S90" s="204"/>
      <c r="T90" s="204"/>
      <c r="U90" s="204"/>
    </row>
    <row r="91" spans="2:21" ht="15.75" thickBot="1">
      <c r="B91" s="205"/>
      <c r="C91" s="205"/>
      <c r="D91" s="205"/>
      <c r="E91" s="205"/>
      <c r="F91" s="205"/>
      <c r="G91" s="205"/>
      <c r="H91" s="51"/>
      <c r="I91" s="51"/>
      <c r="J91" s="207"/>
      <c r="K91" s="207"/>
      <c r="L91" s="207"/>
      <c r="M91" s="207"/>
      <c r="N91" s="207"/>
      <c r="O91" s="207"/>
      <c r="P91" s="51"/>
      <c r="Q91" s="51"/>
      <c r="R91" s="205"/>
      <c r="S91" s="205"/>
      <c r="T91" s="205"/>
      <c r="U91" s="205"/>
    </row>
    <row r="92" spans="2:21">
      <c r="B92" s="208" t="s">
        <v>49</v>
      </c>
      <c r="C92" s="208"/>
      <c r="D92" s="208"/>
      <c r="E92" s="208"/>
      <c r="F92" s="208"/>
      <c r="G92" s="208"/>
      <c r="H92" s="51"/>
      <c r="I92" s="51"/>
      <c r="J92" s="208" t="s">
        <v>49</v>
      </c>
      <c r="K92" s="208"/>
      <c r="L92" s="208"/>
      <c r="M92" s="208"/>
      <c r="N92" s="208"/>
      <c r="O92" s="208"/>
      <c r="P92" s="51"/>
      <c r="Q92" s="51"/>
      <c r="R92" s="208" t="s">
        <v>52</v>
      </c>
      <c r="S92" s="208"/>
      <c r="T92" s="208"/>
      <c r="U92" s="208"/>
    </row>
  </sheetData>
  <mergeCells count="219">
    <mergeCell ref="B4:U4"/>
    <mergeCell ref="B8:F8"/>
    <mergeCell ref="G8:U8"/>
    <mergeCell ref="B9:F9"/>
    <mergeCell ref="G9:U9"/>
    <mergeCell ref="B10:F10"/>
    <mergeCell ref="G10:U10"/>
    <mergeCell ref="B13:F13"/>
    <mergeCell ref="G13:H13"/>
    <mergeCell ref="I13:L13"/>
    <mergeCell ref="N13:Q13"/>
    <mergeCell ref="R13:U13"/>
    <mergeCell ref="B14:F14"/>
    <mergeCell ref="G14:U14"/>
    <mergeCell ref="B11:F11"/>
    <mergeCell ref="G11:U11"/>
    <mergeCell ref="B12:F12"/>
    <mergeCell ref="G12:H12"/>
    <mergeCell ref="I12:L12"/>
    <mergeCell ref="N12:Q12"/>
    <mergeCell ref="R12:S12"/>
    <mergeCell ref="T12:U12"/>
    <mergeCell ref="U19:U20"/>
    <mergeCell ref="B21:D21"/>
    <mergeCell ref="E21:F21"/>
    <mergeCell ref="G21:H21"/>
    <mergeCell ref="I21:K21"/>
    <mergeCell ref="L21:N21"/>
    <mergeCell ref="O21:Q21"/>
    <mergeCell ref="B15:F15"/>
    <mergeCell ref="G15:U15"/>
    <mergeCell ref="B16:U16"/>
    <mergeCell ref="B17:D20"/>
    <mergeCell ref="E17:F20"/>
    <mergeCell ref="G17:U17"/>
    <mergeCell ref="G18:H20"/>
    <mergeCell ref="I18:N18"/>
    <mergeCell ref="O18:U18"/>
    <mergeCell ref="I19:K20"/>
    <mergeCell ref="R21:T21"/>
    <mergeCell ref="B22:D22"/>
    <mergeCell ref="E22:F22"/>
    <mergeCell ref="G22:H22"/>
    <mergeCell ref="I22:K22"/>
    <mergeCell ref="L22:N22"/>
    <mergeCell ref="O22:Q22"/>
    <mergeCell ref="R22:T22"/>
    <mergeCell ref="L19:N20"/>
    <mergeCell ref="O19:Q20"/>
    <mergeCell ref="R19:T20"/>
    <mergeCell ref="R23:T23"/>
    <mergeCell ref="B24:D24"/>
    <mergeCell ref="E24:F24"/>
    <mergeCell ref="G24:H24"/>
    <mergeCell ref="I24:K24"/>
    <mergeCell ref="L24:N24"/>
    <mergeCell ref="O24:Q24"/>
    <mergeCell ref="R24:T24"/>
    <mergeCell ref="B23:D23"/>
    <mergeCell ref="E23:F23"/>
    <mergeCell ref="G23:H23"/>
    <mergeCell ref="I23:K23"/>
    <mergeCell ref="L23:N23"/>
    <mergeCell ref="O23:Q23"/>
    <mergeCell ref="R25:T25"/>
    <mergeCell ref="B26:D26"/>
    <mergeCell ref="E26:F26"/>
    <mergeCell ref="G26:H26"/>
    <mergeCell ref="I26:K26"/>
    <mergeCell ref="L26:N26"/>
    <mergeCell ref="O26:Q26"/>
    <mergeCell ref="R26:T26"/>
    <mergeCell ref="B25:D25"/>
    <mergeCell ref="E25:F25"/>
    <mergeCell ref="G25:H25"/>
    <mergeCell ref="I25:K25"/>
    <mergeCell ref="L25:N25"/>
    <mergeCell ref="O25:Q25"/>
    <mergeCell ref="R27:T27"/>
    <mergeCell ref="B28:D28"/>
    <mergeCell ref="E28:F28"/>
    <mergeCell ref="G28:H28"/>
    <mergeCell ref="I28:K28"/>
    <mergeCell ref="L28:N28"/>
    <mergeCell ref="O28:Q28"/>
    <mergeCell ref="R28:T28"/>
    <mergeCell ref="B27:D27"/>
    <mergeCell ref="E27:F27"/>
    <mergeCell ref="G27:H27"/>
    <mergeCell ref="I27:K27"/>
    <mergeCell ref="L27:N27"/>
    <mergeCell ref="O27:Q27"/>
    <mergeCell ref="L34:N34"/>
    <mergeCell ref="O34:Q34"/>
    <mergeCell ref="R34:T34"/>
    <mergeCell ref="U34:U35"/>
    <mergeCell ref="B36:U36"/>
    <mergeCell ref="B37:F37"/>
    <mergeCell ref="G37:H37"/>
    <mergeCell ref="R29:T29"/>
    <mergeCell ref="B30:F30"/>
    <mergeCell ref="G30:N30"/>
    <mergeCell ref="O30:U30"/>
    <mergeCell ref="B32:F35"/>
    <mergeCell ref="G32:U32"/>
    <mergeCell ref="G33:H35"/>
    <mergeCell ref="I33:N33"/>
    <mergeCell ref="O33:U33"/>
    <mergeCell ref="I34:K34"/>
    <mergeCell ref="B29:D29"/>
    <mergeCell ref="E29:F29"/>
    <mergeCell ref="G29:H29"/>
    <mergeCell ref="I29:K29"/>
    <mergeCell ref="L29:N29"/>
    <mergeCell ref="O29:Q29"/>
    <mergeCell ref="B41:F41"/>
    <mergeCell ref="G41:H41"/>
    <mergeCell ref="B42:F42"/>
    <mergeCell ref="G42:H42"/>
    <mergeCell ref="B43:F43"/>
    <mergeCell ref="G43:H43"/>
    <mergeCell ref="B38:F38"/>
    <mergeCell ref="G38:H38"/>
    <mergeCell ref="B39:F39"/>
    <mergeCell ref="G39:H39"/>
    <mergeCell ref="B40:F40"/>
    <mergeCell ref="G40:H40"/>
    <mergeCell ref="B47:F47"/>
    <mergeCell ref="G47:H47"/>
    <mergeCell ref="B48:F48"/>
    <mergeCell ref="G48:H48"/>
    <mergeCell ref="B49:F49"/>
    <mergeCell ref="G49:H49"/>
    <mergeCell ref="B44:F44"/>
    <mergeCell ref="G44:H44"/>
    <mergeCell ref="B45:F45"/>
    <mergeCell ref="G45:H45"/>
    <mergeCell ref="B46:F46"/>
    <mergeCell ref="G46:H46"/>
    <mergeCell ref="B54:F54"/>
    <mergeCell ref="G54:H54"/>
    <mergeCell ref="B55:F55"/>
    <mergeCell ref="G55:H55"/>
    <mergeCell ref="B56:F56"/>
    <mergeCell ref="G56:H56"/>
    <mergeCell ref="B50:F50"/>
    <mergeCell ref="G50:H50"/>
    <mergeCell ref="B51:F51"/>
    <mergeCell ref="G51:H51"/>
    <mergeCell ref="B52:U52"/>
    <mergeCell ref="B53:F53"/>
    <mergeCell ref="G53:H53"/>
    <mergeCell ref="J61:K61"/>
    <mergeCell ref="L61:M61"/>
    <mergeCell ref="N61:O61"/>
    <mergeCell ref="P61:Q61"/>
    <mergeCell ref="R61:S61"/>
    <mergeCell ref="T61:U61"/>
    <mergeCell ref="B57:F57"/>
    <mergeCell ref="G57:H57"/>
    <mergeCell ref="B59:U59"/>
    <mergeCell ref="B60:C61"/>
    <mergeCell ref="D60:I60"/>
    <mergeCell ref="J60:O60"/>
    <mergeCell ref="P60:T60"/>
    <mergeCell ref="D61:E61"/>
    <mergeCell ref="F61:G61"/>
    <mergeCell ref="H61:I61"/>
    <mergeCell ref="N62:O62"/>
    <mergeCell ref="P62:Q62"/>
    <mergeCell ref="R62:S62"/>
    <mergeCell ref="T62:U62"/>
    <mergeCell ref="B63:C63"/>
    <mergeCell ref="D63:E63"/>
    <mergeCell ref="F63:G63"/>
    <mergeCell ref="H63:I63"/>
    <mergeCell ref="J63:K63"/>
    <mergeCell ref="L63:M63"/>
    <mergeCell ref="B62:C62"/>
    <mergeCell ref="D62:E62"/>
    <mergeCell ref="F62:G62"/>
    <mergeCell ref="H62:I62"/>
    <mergeCell ref="J62:K62"/>
    <mergeCell ref="L62:M62"/>
    <mergeCell ref="P64:Q64"/>
    <mergeCell ref="R64:S64"/>
    <mergeCell ref="T64:U64"/>
    <mergeCell ref="B67:D67"/>
    <mergeCell ref="E67:U67"/>
    <mergeCell ref="B68:U74"/>
    <mergeCell ref="N63:O63"/>
    <mergeCell ref="P63:Q63"/>
    <mergeCell ref="R63:S63"/>
    <mergeCell ref="T63:U63"/>
    <mergeCell ref="D64:E64"/>
    <mergeCell ref="F64:G64"/>
    <mergeCell ref="H64:I64"/>
    <mergeCell ref="J64:K64"/>
    <mergeCell ref="L64:M64"/>
    <mergeCell ref="N64:O64"/>
    <mergeCell ref="B83:G83"/>
    <mergeCell ref="J83:O83"/>
    <mergeCell ref="R83:U83"/>
    <mergeCell ref="J86:O86"/>
    <mergeCell ref="J77:O77"/>
    <mergeCell ref="R77:U77"/>
    <mergeCell ref="B78:G78"/>
    <mergeCell ref="J78:O82"/>
    <mergeCell ref="R78:U82"/>
    <mergeCell ref="B79:G82"/>
    <mergeCell ref="B92:G92"/>
    <mergeCell ref="J92:O92"/>
    <mergeCell ref="R92:U92"/>
    <mergeCell ref="C87:F87"/>
    <mergeCell ref="J87:O87"/>
    <mergeCell ref="R87:U87"/>
    <mergeCell ref="B88:G91"/>
    <mergeCell ref="J88:O91"/>
    <mergeCell ref="R88:U91"/>
  </mergeCells>
  <printOptions horizontalCentered="1" verticalCentered="1"/>
  <pageMargins left="0" right="0" top="0" bottom="0" header="0.31496062992125984" footer="0.31496062992125984"/>
  <pageSetup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Trimestral VEME2019 </vt:lpstr>
      <vt:lpstr>Mensual VEME2019</vt:lpstr>
      <vt:lpstr>Trimestral_Limpia</vt:lpstr>
      <vt:lpstr>'Mensual VEME2019'!Área_de_impresión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Nuria Leon Tolentino</dc:creator>
  <cp:lastModifiedBy>Wendy_Cesaveco</cp:lastModifiedBy>
  <cp:lastPrinted>2020-02-04T20:53:12Z</cp:lastPrinted>
  <dcterms:created xsi:type="dcterms:W3CDTF">2019-05-03T23:55:45Z</dcterms:created>
  <dcterms:modified xsi:type="dcterms:W3CDTF">2020-02-04T20:53:15Z</dcterms:modified>
</cp:coreProperties>
</file>